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E:\Локальный диск\Протоколы сссий 7 созыва\15 сессия\Реш. № 130 О внесен. изм. в местный бюджет\"/>
    </mc:Choice>
  </mc:AlternateContent>
  <xr:revisionPtr revIDLastSave="0" documentId="13_ncr:1_{E12764EA-5F59-4EFC-9A2E-3339F9B35F4E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табл.2" sheetId="1" r:id="rId1"/>
  </sheets>
  <definedNames>
    <definedName name="_xlnm._FilterDatabase" localSheetId="0" hidden="1">табл.2!$A$17:$H$799</definedName>
    <definedName name="Excel_BuiltIn__FilterDatabase" localSheetId="0">табл.2!$A$17:$U$799</definedName>
    <definedName name="Excel_BuiltIn_Print_Area" localSheetId="0">табл.2!$A$7:$H$799</definedName>
    <definedName name="_xlnm.Print_Titles" localSheetId="0">табл.2!$15:$17</definedName>
  </definedNames>
  <calcPr calcId="191029" iterate="1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H797" i="1" l="1"/>
  <c r="H796" i="1"/>
  <c r="H795" i="1"/>
  <c r="H794" i="1"/>
  <c r="H793" i="1" s="1"/>
  <c r="H792" i="1" s="1"/>
  <c r="H791" i="1" s="1"/>
  <c r="H790" i="1" s="1"/>
  <c r="H789" i="1"/>
  <c r="H788" i="1"/>
  <c r="H787" i="1"/>
  <c r="H786" i="1"/>
  <c r="H785" i="1" s="1"/>
  <c r="H784" i="1"/>
  <c r="H783" i="1" s="1"/>
  <c r="H782" i="1" s="1"/>
  <c r="H781" i="1"/>
  <c r="H780" i="1"/>
  <c r="H779" i="1" s="1"/>
  <c r="H778" i="1"/>
  <c r="H776" i="1" s="1"/>
  <c r="H775" i="1" s="1"/>
  <c r="H777" i="1"/>
  <c r="H774" i="1"/>
  <c r="H772" i="1" s="1"/>
  <c r="H771" i="1" s="1"/>
  <c r="H770" i="1" s="1"/>
  <c r="H769" i="1" s="1"/>
  <c r="H773" i="1"/>
  <c r="H767" i="1"/>
  <c r="H766" i="1" s="1"/>
  <c r="H764" i="1" s="1"/>
  <c r="H765" i="1"/>
  <c r="H760" i="1"/>
  <c r="H759" i="1"/>
  <c r="H758" i="1" s="1"/>
  <c r="H757" i="1"/>
  <c r="H755" i="1" s="1"/>
  <c r="H756" i="1"/>
  <c r="H754" i="1"/>
  <c r="H753" i="1"/>
  <c r="H752" i="1" s="1"/>
  <c r="H747" i="1"/>
  <c r="H746" i="1"/>
  <c r="H745" i="1"/>
  <c r="H744" i="1"/>
  <c r="H743" i="1"/>
  <c r="H742" i="1" s="1"/>
  <c r="H740" i="1"/>
  <c r="H733" i="1"/>
  <c r="H730" i="1" s="1"/>
  <c r="H726" i="1" s="1"/>
  <c r="H725" i="1" s="1"/>
  <c r="H724" i="1" s="1"/>
  <c r="H723" i="1" s="1"/>
  <c r="H732" i="1"/>
  <c r="H731" i="1"/>
  <c r="H729" i="1"/>
  <c r="H728" i="1" s="1"/>
  <c r="H727" i="1"/>
  <c r="H721" i="1"/>
  <c r="H720" i="1"/>
  <c r="H719" i="1"/>
  <c r="H718" i="1" s="1"/>
  <c r="H717" i="1" s="1"/>
  <c r="H716" i="1" s="1"/>
  <c r="H712" i="1"/>
  <c r="H711" i="1"/>
  <c r="H710" i="1"/>
  <c r="H709" i="1"/>
  <c r="H708" i="1"/>
  <c r="H706" i="1"/>
  <c r="H705" i="1"/>
  <c r="H704" i="1" s="1"/>
  <c r="H702" i="1"/>
  <c r="H699" i="1"/>
  <c r="H698" i="1"/>
  <c r="H697" i="1" s="1"/>
  <c r="H696" i="1"/>
  <c r="H695" i="1" s="1"/>
  <c r="H694" i="1"/>
  <c r="H693" i="1" s="1"/>
  <c r="H688" i="1"/>
  <c r="H687" i="1"/>
  <c r="H686" i="1"/>
  <c r="H684" i="1" s="1"/>
  <c r="H683" i="1" s="1"/>
  <c r="H682" i="1" s="1"/>
  <c r="H681" i="1" s="1"/>
  <c r="H680" i="1" s="1"/>
  <c r="H685" i="1"/>
  <c r="H678" i="1"/>
  <c r="H677" i="1" s="1"/>
  <c r="H676" i="1" s="1"/>
  <c r="H675" i="1" s="1"/>
  <c r="H670" i="1"/>
  <c r="H668" i="1" s="1"/>
  <c r="H669" i="1"/>
  <c r="H667" i="1"/>
  <c r="H666" i="1"/>
  <c r="H665" i="1" s="1"/>
  <c r="H664" i="1" s="1"/>
  <c r="H662" i="1"/>
  <c r="H661" i="1"/>
  <c r="H660" i="1"/>
  <c r="H659" i="1"/>
  <c r="H658" i="1" s="1"/>
  <c r="H657" i="1" s="1"/>
  <c r="H653" i="1"/>
  <c r="H652" i="1"/>
  <c r="H651" i="1" s="1"/>
  <c r="H650" i="1" s="1"/>
  <c r="H648" i="1"/>
  <c r="H647" i="1"/>
  <c r="H646" i="1" s="1"/>
  <c r="H645" i="1"/>
  <c r="H644" i="1" s="1"/>
  <c r="H643" i="1"/>
  <c r="H642" i="1" s="1"/>
  <c r="H641" i="1" s="1"/>
  <c r="H640" i="1" s="1"/>
  <c r="H639" i="1" s="1"/>
  <c r="H638" i="1" s="1"/>
  <c r="H636" i="1"/>
  <c r="H635" i="1"/>
  <c r="H634" i="1" s="1"/>
  <c r="H633" i="1"/>
  <c r="H632" i="1" s="1"/>
  <c r="H631" i="1" s="1"/>
  <c r="H630" i="1" s="1"/>
  <c r="H629" i="1" s="1"/>
  <c r="H628" i="1" s="1"/>
  <c r="H626" i="1"/>
  <c r="H624" i="1"/>
  <c r="H623" i="1"/>
  <c r="H622" i="1" s="1"/>
  <c r="H621" i="1"/>
  <c r="H620" i="1" s="1"/>
  <c r="H613" i="1"/>
  <c r="H612" i="1" s="1"/>
  <c r="H611" i="1"/>
  <c r="H610" i="1" s="1"/>
  <c r="H609" i="1"/>
  <c r="H608" i="1" s="1"/>
  <c r="H607" i="1"/>
  <c r="H606" i="1" s="1"/>
  <c r="H605" i="1"/>
  <c r="H604" i="1" s="1"/>
  <c r="H599" i="1"/>
  <c r="H598" i="1" s="1"/>
  <c r="H597" i="1" s="1"/>
  <c r="H596" i="1"/>
  <c r="H595" i="1"/>
  <c r="H594" i="1" s="1"/>
  <c r="H593" i="1" s="1"/>
  <c r="H592" i="1" s="1"/>
  <c r="H591" i="1" s="1"/>
  <c r="H587" i="1"/>
  <c r="H586" i="1" s="1"/>
  <c r="H585" i="1" s="1"/>
  <c r="H584" i="1" s="1"/>
  <c r="H583" i="1"/>
  <c r="H581" i="1"/>
  <c r="H580" i="1"/>
  <c r="H579" i="1" s="1"/>
  <c r="H578" i="1" s="1"/>
  <c r="H577" i="1" s="1"/>
  <c r="H576" i="1" s="1"/>
  <c r="H575" i="1" s="1"/>
  <c r="H574" i="1" s="1"/>
  <c r="H572" i="1"/>
  <c r="H571" i="1"/>
  <c r="H570" i="1"/>
  <c r="H569" i="1"/>
  <c r="H568" i="1" s="1"/>
  <c r="H567" i="1" s="1"/>
  <c r="H566" i="1"/>
  <c r="H565" i="1"/>
  <c r="H564" i="1"/>
  <c r="H563" i="1"/>
  <c r="H562" i="1" s="1"/>
  <c r="H561" i="1"/>
  <c r="H560" i="1"/>
  <c r="H559" i="1"/>
  <c r="H558" i="1" s="1"/>
  <c r="H556" i="1"/>
  <c r="H555" i="1" s="1"/>
  <c r="H554" i="1" s="1"/>
  <c r="H550" i="1"/>
  <c r="H549" i="1"/>
  <c r="H548" i="1"/>
  <c r="H547" i="1"/>
  <c r="H546" i="1"/>
  <c r="H545" i="1"/>
  <c r="H544" i="1"/>
  <c r="H543" i="1"/>
  <c r="H538" i="1" s="1"/>
  <c r="H541" i="1"/>
  <c r="H540" i="1"/>
  <c r="H539" i="1" s="1"/>
  <c r="H537" i="1"/>
  <c r="H536" i="1"/>
  <c r="H535" i="1" s="1"/>
  <c r="H534" i="1"/>
  <c r="H533" i="1" s="1"/>
  <c r="H532" i="1" s="1"/>
  <c r="H528" i="1"/>
  <c r="H527" i="1" s="1"/>
  <c r="H526" i="1" s="1"/>
  <c r="H525" i="1" s="1"/>
  <c r="H524" i="1" s="1"/>
  <c r="H523" i="1" s="1"/>
  <c r="H522" i="1"/>
  <c r="H520" i="1" s="1"/>
  <c r="H519" i="1" s="1"/>
  <c r="H521" i="1"/>
  <c r="H518" i="1"/>
  <c r="H517" i="1" s="1"/>
  <c r="H515" i="1"/>
  <c r="H514" i="1"/>
  <c r="H513" i="1"/>
  <c r="H508" i="1"/>
  <c r="H507" i="1"/>
  <c r="H506" i="1" s="1"/>
  <c r="H505" i="1"/>
  <c r="H504" i="1"/>
  <c r="H503" i="1"/>
  <c r="H502" i="1" s="1"/>
  <c r="H501" i="1"/>
  <c r="H500" i="1"/>
  <c r="H499" i="1"/>
  <c r="H498" i="1"/>
  <c r="H497" i="1"/>
  <c r="H496" i="1" s="1"/>
  <c r="H495" i="1"/>
  <c r="H494" i="1" s="1"/>
  <c r="H493" i="1"/>
  <c r="H492" i="1" s="1"/>
  <c r="H489" i="1"/>
  <c r="H488" i="1"/>
  <c r="H487" i="1"/>
  <c r="H486" i="1"/>
  <c r="H485" i="1"/>
  <c r="H484" i="1"/>
  <c r="H482" i="1"/>
  <c r="H481" i="1"/>
  <c r="H480" i="1" s="1"/>
  <c r="H479" i="1"/>
  <c r="H478" i="1" s="1"/>
  <c r="H477" i="1"/>
  <c r="H476" i="1" s="1"/>
  <c r="H475" i="1"/>
  <c r="H474" i="1" s="1"/>
  <c r="H473" i="1"/>
  <c r="H472" i="1" s="1"/>
  <c r="H471" i="1"/>
  <c r="H470" i="1" s="1"/>
  <c r="H469" i="1"/>
  <c r="H468" i="1" s="1"/>
  <c r="H467" i="1"/>
  <c r="H466" i="1" s="1"/>
  <c r="H463" i="1"/>
  <c r="H459" i="1"/>
  <c r="H458" i="1"/>
  <c r="H457" i="1" s="1"/>
  <c r="H456" i="1" s="1"/>
  <c r="H455" i="1"/>
  <c r="H454" i="1"/>
  <c r="H453" i="1" s="1"/>
  <c r="H452" i="1" s="1"/>
  <c r="H451" i="1"/>
  <c r="H450" i="1"/>
  <c r="H449" i="1"/>
  <c r="H448" i="1"/>
  <c r="H445" i="1"/>
  <c r="H443" i="1"/>
  <c r="H442" i="1"/>
  <c r="H441" i="1" s="1"/>
  <c r="H440" i="1"/>
  <c r="H439" i="1" s="1"/>
  <c r="H438" i="1"/>
  <c r="H437" i="1" s="1"/>
  <c r="H436" i="1"/>
  <c r="H435" i="1" s="1"/>
  <c r="H434" i="1"/>
  <c r="H433" i="1" s="1"/>
  <c r="H432" i="1" s="1"/>
  <c r="H431" i="1"/>
  <c r="H430" i="1"/>
  <c r="H424" i="1"/>
  <c r="H422" i="1" s="1"/>
  <c r="H421" i="1" s="1"/>
  <c r="H423" i="1"/>
  <c r="H420" i="1"/>
  <c r="H417" i="1" s="1"/>
  <c r="H416" i="1" s="1"/>
  <c r="H419" i="1"/>
  <c r="H418" i="1"/>
  <c r="S417" i="1"/>
  <c r="R417" i="1"/>
  <c r="Q417" i="1"/>
  <c r="P417" i="1"/>
  <c r="O417" i="1"/>
  <c r="N417" i="1"/>
  <c r="M417" i="1"/>
  <c r="L417" i="1"/>
  <c r="K417" i="1"/>
  <c r="J417" i="1"/>
  <c r="I417" i="1"/>
  <c r="H415" i="1"/>
  <c r="H414" i="1" s="1"/>
  <c r="H413" i="1" s="1"/>
  <c r="H407" i="1"/>
  <c r="H406" i="1"/>
  <c r="H405" i="1" s="1"/>
  <c r="H404" i="1"/>
  <c r="H403" i="1" s="1"/>
  <c r="H402" i="1" s="1"/>
  <c r="H401" i="1"/>
  <c r="H400" i="1"/>
  <c r="H399" i="1" s="1"/>
  <c r="H395" i="1"/>
  <c r="H394" i="1" s="1"/>
  <c r="H393" i="1"/>
  <c r="H392" i="1" s="1"/>
  <c r="H390" i="1"/>
  <c r="H389" i="1"/>
  <c r="H388" i="1" s="1"/>
  <c r="H387" i="1" s="1"/>
  <c r="H386" i="1" s="1"/>
  <c r="H385" i="1" s="1"/>
  <c r="H384" i="1"/>
  <c r="H383" i="1"/>
  <c r="H382" i="1" s="1"/>
  <c r="H381" i="1" s="1"/>
  <c r="H380" i="1" s="1"/>
  <c r="H379" i="1"/>
  <c r="H378" i="1" s="1"/>
  <c r="H377" i="1"/>
  <c r="H376" i="1"/>
  <c r="H375" i="1"/>
  <c r="H374" i="1" s="1"/>
  <c r="H373" i="1" s="1"/>
  <c r="H372" i="1"/>
  <c r="H371" i="1"/>
  <c r="H370" i="1"/>
  <c r="H369" i="1"/>
  <c r="H362" i="1"/>
  <c r="H361" i="1" s="1"/>
  <c r="H360" i="1" s="1"/>
  <c r="H359" i="1" s="1"/>
  <c r="H358" i="1" s="1"/>
  <c r="H356" i="1"/>
  <c r="H354" i="1"/>
  <c r="H353" i="1" s="1"/>
  <c r="H352" i="1" s="1"/>
  <c r="H351" i="1" s="1"/>
  <c r="H350" i="1"/>
  <c r="H348" i="1"/>
  <c r="H347" i="1"/>
  <c r="H346" i="1" s="1"/>
  <c r="H345" i="1"/>
  <c r="H344" i="1" s="1"/>
  <c r="H343" i="1"/>
  <c r="H342" i="1" s="1"/>
  <c r="H341" i="1" s="1"/>
  <c r="H340" i="1" s="1"/>
  <c r="H339" i="1"/>
  <c r="H338" i="1" s="1"/>
  <c r="H337" i="1"/>
  <c r="H335" i="1" s="1"/>
  <c r="H336" i="1"/>
  <c r="H330" i="1"/>
  <c r="H329" i="1"/>
  <c r="H328" i="1"/>
  <c r="H325" i="1" s="1"/>
  <c r="H324" i="1" s="1"/>
  <c r="H315" i="1" s="1"/>
  <c r="H326" i="1"/>
  <c r="H323" i="1"/>
  <c r="H322" i="1" s="1"/>
  <c r="H321" i="1" s="1"/>
  <c r="H320" i="1" s="1"/>
  <c r="H319" i="1"/>
  <c r="H318" i="1" s="1"/>
  <c r="H317" i="1" s="1"/>
  <c r="H316" i="1" s="1"/>
  <c r="H314" i="1"/>
  <c r="H312" i="1" s="1"/>
  <c r="H313" i="1"/>
  <c r="H311" i="1"/>
  <c r="H310" i="1" s="1"/>
  <c r="H309" i="1" s="1"/>
  <c r="H307" i="1"/>
  <c r="H306" i="1" s="1"/>
  <c r="H305" i="1" s="1"/>
  <c r="H304" i="1" s="1"/>
  <c r="H303" i="1" s="1"/>
  <c r="H302" i="1" s="1"/>
  <c r="H301" i="1" s="1"/>
  <c r="H299" i="1"/>
  <c r="H298" i="1"/>
  <c r="H294" i="1" s="1"/>
  <c r="H293" i="1" s="1"/>
  <c r="H292" i="1" s="1"/>
  <c r="H297" i="1"/>
  <c r="H296" i="1"/>
  <c r="H295" i="1" s="1"/>
  <c r="H291" i="1"/>
  <c r="H290" i="1"/>
  <c r="H289" i="1" s="1"/>
  <c r="H288" i="1"/>
  <c r="H287" i="1" s="1"/>
  <c r="H286" i="1"/>
  <c r="H285" i="1"/>
  <c r="H284" i="1"/>
  <c r="H283" i="1"/>
  <c r="H282" i="1"/>
  <c r="H281" i="1" s="1"/>
  <c r="H280" i="1" s="1"/>
  <c r="H279" i="1" s="1"/>
  <c r="H278" i="1" s="1"/>
  <c r="H276" i="1"/>
  <c r="H275" i="1" s="1"/>
  <c r="H274" i="1" s="1"/>
  <c r="H273" i="1" s="1"/>
  <c r="H272" i="1" s="1"/>
  <c r="H270" i="1"/>
  <c r="H269" i="1"/>
  <c r="H268" i="1"/>
  <c r="H267" i="1" s="1"/>
  <c r="H266" i="1" s="1"/>
  <c r="H265" i="1" s="1"/>
  <c r="H263" i="1"/>
  <c r="H261" i="1"/>
  <c r="H260" i="1" s="1"/>
  <c r="H259" i="1" s="1"/>
  <c r="H258" i="1"/>
  <c r="H257" i="1" s="1"/>
  <c r="H252" i="1" s="1"/>
  <c r="H251" i="1" s="1"/>
  <c r="H246" i="1" s="1"/>
  <c r="H255" i="1"/>
  <c r="H253" i="1"/>
  <c r="H250" i="1"/>
  <c r="H249" i="1"/>
  <c r="H248" i="1"/>
  <c r="H247" i="1" s="1"/>
  <c r="H245" i="1"/>
  <c r="H244" i="1"/>
  <c r="H243" i="1" s="1"/>
  <c r="H242" i="1" s="1"/>
  <c r="H241" i="1" s="1"/>
  <c r="H239" i="1"/>
  <c r="H238" i="1"/>
  <c r="H237" i="1"/>
  <c r="H236" i="1"/>
  <c r="H235" i="1"/>
  <c r="H234" i="1"/>
  <c r="H233" i="1"/>
  <c r="H232" i="1"/>
  <c r="H228" i="1" s="1"/>
  <c r="H227" i="1" s="1"/>
  <c r="H231" i="1"/>
  <c r="H230" i="1"/>
  <c r="H229" i="1"/>
  <c r="H226" i="1"/>
  <c r="H225" i="1"/>
  <c r="H224" i="1"/>
  <c r="H223" i="1" s="1"/>
  <c r="H222" i="1" s="1"/>
  <c r="H221" i="1"/>
  <c r="H220" i="1"/>
  <c r="H218" i="1"/>
  <c r="H217" i="1" s="1"/>
  <c r="H216" i="1" s="1"/>
  <c r="H215" i="1" s="1"/>
  <c r="H214" i="1" s="1"/>
  <c r="H213" i="1"/>
  <c r="H212" i="1"/>
  <c r="H211" i="1"/>
  <c r="H210" i="1" s="1"/>
  <c r="H209" i="1" s="1"/>
  <c r="H207" i="1"/>
  <c r="H205" i="1"/>
  <c r="H204" i="1" s="1"/>
  <c r="H202" i="1"/>
  <c r="H200" i="1"/>
  <c r="H199" i="1"/>
  <c r="H198" i="1" s="1"/>
  <c r="H197" i="1"/>
  <c r="H196" i="1"/>
  <c r="H195" i="1"/>
  <c r="H194" i="1" s="1"/>
  <c r="H190" i="1"/>
  <c r="H189" i="1" s="1"/>
  <c r="H187" i="1"/>
  <c r="H186" i="1"/>
  <c r="H185" i="1"/>
  <c r="H184" i="1" s="1"/>
  <c r="H181" i="1" s="1"/>
  <c r="H183" i="1"/>
  <c r="H182" i="1"/>
  <c r="H176" i="1"/>
  <c r="H175" i="1"/>
  <c r="H174" i="1"/>
  <c r="H173" i="1"/>
  <c r="H172" i="1" s="1"/>
  <c r="H171" i="1" s="1"/>
  <c r="H170" i="1"/>
  <c r="H169" i="1"/>
  <c r="H168" i="1" s="1"/>
  <c r="H165" i="1"/>
  <c r="H164" i="1" s="1"/>
  <c r="H163" i="1" s="1"/>
  <c r="H162" i="1" s="1"/>
  <c r="H160" i="1"/>
  <c r="H159" i="1"/>
  <c r="H158" i="1"/>
  <c r="H157" i="1"/>
  <c r="H156" i="1"/>
  <c r="H155" i="1"/>
  <c r="H154" i="1"/>
  <c r="H153" i="1"/>
  <c r="H152" i="1"/>
  <c r="H151" i="1" s="1"/>
  <c r="H147" i="1" s="1"/>
  <c r="H146" i="1" s="1"/>
  <c r="H149" i="1"/>
  <c r="H148" i="1"/>
  <c r="H144" i="1"/>
  <c r="H143" i="1"/>
  <c r="H142" i="1" s="1"/>
  <c r="H141" i="1" s="1"/>
  <c r="H140" i="1" s="1"/>
  <c r="H138" i="1"/>
  <c r="H137" i="1"/>
  <c r="H136" i="1"/>
  <c r="H135" i="1"/>
  <c r="H134" i="1" s="1"/>
  <c r="H133" i="1" s="1"/>
  <c r="H131" i="1"/>
  <c r="H130" i="1"/>
  <c r="H128" i="1" s="1"/>
  <c r="H124" i="1"/>
  <c r="H122" i="1"/>
  <c r="H121" i="1" s="1"/>
  <c r="H120" i="1"/>
  <c r="H119" i="1"/>
  <c r="H118" i="1"/>
  <c r="H114" i="1" s="1"/>
  <c r="H116" i="1"/>
  <c r="H115" i="1"/>
  <c r="H111" i="1"/>
  <c r="H110" i="1"/>
  <c r="H109" i="1"/>
  <c r="H105" i="1" s="1"/>
  <c r="H104" i="1" s="1"/>
  <c r="H107" i="1"/>
  <c r="H106" i="1"/>
  <c r="H103" i="1"/>
  <c r="H102" i="1"/>
  <c r="H101" i="1"/>
  <c r="H100" i="1"/>
  <c r="H98" i="1"/>
  <c r="H97" i="1"/>
  <c r="H96" i="1"/>
  <c r="H95" i="1"/>
  <c r="T94" i="1"/>
  <c r="S94" i="1"/>
  <c r="R94" i="1"/>
  <c r="Q94" i="1"/>
  <c r="P94" i="1"/>
  <c r="O94" i="1"/>
  <c r="N94" i="1"/>
  <c r="M94" i="1"/>
  <c r="L94" i="1"/>
  <c r="K94" i="1"/>
  <c r="J94" i="1"/>
  <c r="I94" i="1"/>
  <c r="H93" i="1"/>
  <c r="H92" i="1"/>
  <c r="H91" i="1"/>
  <c r="H90" i="1"/>
  <c r="H89" i="1" s="1"/>
  <c r="H88" i="1" s="1"/>
  <c r="H85" i="1"/>
  <c r="H84" i="1" s="1"/>
  <c r="H83" i="1" s="1"/>
  <c r="H81" i="1"/>
  <c r="H80" i="1" s="1"/>
  <c r="H79" i="1" s="1"/>
  <c r="H78" i="1" s="1"/>
  <c r="H77" i="1" s="1"/>
  <c r="H76" i="1"/>
  <c r="H75" i="1" s="1"/>
  <c r="H74" i="1" s="1"/>
  <c r="H73" i="1" s="1"/>
  <c r="H72" i="1"/>
  <c r="H71" i="1"/>
  <c r="H70" i="1"/>
  <c r="H69" i="1"/>
  <c r="H68" i="1"/>
  <c r="H67" i="1" s="1"/>
  <c r="H65" i="1"/>
  <c r="H64" i="1"/>
  <c r="H63" i="1" s="1"/>
  <c r="H62" i="1"/>
  <c r="H61" i="1"/>
  <c r="H60" i="1"/>
  <c r="H59" i="1"/>
  <c r="H58" i="1"/>
  <c r="H57" i="1"/>
  <c r="H56" i="1"/>
  <c r="H55" i="1" s="1"/>
  <c r="H54" i="1"/>
  <c r="H53" i="1"/>
  <c r="H52" i="1"/>
  <c r="H51" i="1" s="1"/>
  <c r="H50" i="1"/>
  <c r="H48" i="1"/>
  <c r="H47" i="1"/>
  <c r="H46" i="1" s="1"/>
  <c r="H43" i="1"/>
  <c r="H42" i="1" s="1"/>
  <c r="H41" i="1" s="1"/>
  <c r="H40" i="1" s="1"/>
  <c r="H38" i="1"/>
  <c r="H37" i="1" s="1"/>
  <c r="H36" i="1" s="1"/>
  <c r="H35" i="1" s="1"/>
  <c r="H34" i="1" s="1"/>
  <c r="H31" i="1"/>
  <c r="H30" i="1"/>
  <c r="H29" i="1"/>
  <c r="H28" i="1" s="1"/>
  <c r="H27" i="1" s="1"/>
  <c r="H25" i="1"/>
  <c r="H24" i="1"/>
  <c r="H23" i="1" s="1"/>
  <c r="H22" i="1" s="1"/>
  <c r="H21" i="1" s="1"/>
  <c r="H20" i="1" s="1"/>
  <c r="H19" i="1" s="1"/>
  <c r="H193" i="1" l="1"/>
  <c r="H192" i="1" s="1"/>
  <c r="H94" i="1"/>
  <c r="H82" i="1" s="1"/>
  <c r="H33" i="1" s="1"/>
  <c r="H180" i="1"/>
  <c r="H45" i="1"/>
  <c r="H44" i="1" s="1"/>
  <c r="H39" i="1" s="1"/>
  <c r="H127" i="1"/>
  <c r="H398" i="1"/>
  <c r="H397" i="1" s="1"/>
  <c r="H113" i="1"/>
  <c r="H112" i="1" s="1"/>
  <c r="H145" i="1"/>
  <c r="H240" i="1"/>
  <c r="H391" i="1"/>
  <c r="H465" i="1"/>
  <c r="H462" i="1" s="1"/>
  <c r="H461" i="1" s="1"/>
  <c r="H460" i="1" s="1"/>
  <c r="H491" i="1"/>
  <c r="H512" i="1"/>
  <c r="H511" i="1" s="1"/>
  <c r="H510" i="1" s="1"/>
  <c r="H509" i="1" s="1"/>
  <c r="H553" i="1"/>
  <c r="H552" i="1" s="1"/>
  <c r="H603" i="1"/>
  <c r="H602" i="1" s="1"/>
  <c r="H601" i="1" s="1"/>
  <c r="H600" i="1" s="1"/>
  <c r="H590" i="1" s="1"/>
  <c r="H751" i="1"/>
  <c r="H763" i="1"/>
  <c r="H762" i="1" s="1"/>
  <c r="H761" i="1" s="1"/>
  <c r="H167" i="1"/>
  <c r="H166" i="1" s="1"/>
  <c r="H139" i="1" s="1"/>
  <c r="H334" i="1"/>
  <c r="H333" i="1" s="1"/>
  <c r="H332" i="1" s="1"/>
  <c r="H308" i="1" s="1"/>
  <c r="H368" i="1"/>
  <c r="H367" i="1" s="1"/>
  <c r="H366" i="1" s="1"/>
  <c r="H365" i="1" s="1"/>
  <c r="H364" i="1" s="1"/>
  <c r="H739" i="1"/>
  <c r="H738" i="1" s="1"/>
  <c r="H737" i="1" s="1"/>
  <c r="H736" i="1" s="1"/>
  <c r="H412" i="1"/>
  <c r="H411" i="1" s="1"/>
  <c r="H410" i="1" s="1"/>
  <c r="H409" i="1" s="1"/>
  <c r="H447" i="1"/>
  <c r="H429" i="1" s="1"/>
  <c r="H428" i="1" s="1"/>
  <c r="H427" i="1" s="1"/>
  <c r="H531" i="1"/>
  <c r="H530" i="1" s="1"/>
  <c r="H529" i="1" s="1"/>
  <c r="H619" i="1"/>
  <c r="H618" i="1" s="1"/>
  <c r="H617" i="1" s="1"/>
  <c r="H616" i="1" s="1"/>
  <c r="H615" i="1" s="1"/>
  <c r="H656" i="1"/>
  <c r="H655" i="1"/>
  <c r="H637" i="1" s="1"/>
  <c r="H674" i="1"/>
  <c r="H673" i="1" s="1"/>
  <c r="H672" i="1" s="1"/>
  <c r="H692" i="1"/>
  <c r="H691" i="1" s="1"/>
  <c r="H690" i="1" s="1"/>
  <c r="H689" i="1" s="1"/>
  <c r="H679" i="1" s="1"/>
  <c r="H715" i="1"/>
  <c r="H714" i="1" s="1"/>
  <c r="H426" i="1" l="1"/>
  <c r="H425" i="1" s="1"/>
  <c r="H614" i="1"/>
  <c r="H179" i="1"/>
  <c r="H178" i="1" s="1"/>
  <c r="H177" i="1" s="1"/>
  <c r="H32" i="1" s="1"/>
  <c r="H18" i="1" s="1"/>
  <c r="H671" i="1"/>
  <c r="H750" i="1"/>
  <c r="H749" i="1"/>
  <c r="H748" i="1" s="1"/>
  <c r="H735" i="1" s="1"/>
  <c r="H722" i="1" s="1"/>
</calcChain>
</file>

<file path=xl/sharedStrings.xml><?xml version="1.0" encoding="utf-8"?>
<sst xmlns="http://schemas.openxmlformats.org/spreadsheetml/2006/main" count="3301" uniqueCount="621">
  <si>
    <t>к решению Совета муниципального</t>
  </si>
  <si>
    <t>образования Северский муниципальный</t>
  </si>
  <si>
    <t xml:space="preserve">район Краснодарского края </t>
  </si>
  <si>
    <t>От 25 декабря 2025 г  № 41</t>
  </si>
  <si>
    <t>«ПРИЛОЖЕНИЕ  № 12</t>
  </si>
  <si>
    <t xml:space="preserve">   Ведомственная структура расходов местного бюджета на 2026 год</t>
  </si>
  <si>
    <t>тыс.рублей</t>
  </si>
  <si>
    <t>№ п/п</t>
  </si>
  <si>
    <t xml:space="preserve">Наименование </t>
  </si>
  <si>
    <t>Вед</t>
  </si>
  <si>
    <t>РЗ</t>
  </si>
  <si>
    <t>ПР</t>
  </si>
  <si>
    <t>ЦСР</t>
  </si>
  <si>
    <t>ВР</t>
  </si>
  <si>
    <t>сумма</t>
  </si>
  <si>
    <t>ВСЕГО</t>
  </si>
  <si>
    <t>Совет муниципального образования Северский муниципальный район Краснодарского края</t>
  </si>
  <si>
    <t>Общегосударственные вопросы</t>
  </si>
  <si>
    <t>01</t>
  </si>
  <si>
    <t>00</t>
  </si>
  <si>
    <t xml:space="preserve">Функционирование законодательных (представительных)органов государственной власти и представительных органов муниципальных образований </t>
  </si>
  <si>
    <t>03</t>
  </si>
  <si>
    <t>Обеспечение деятельности Совета муниципального образования</t>
  </si>
  <si>
    <t>52 0 00 00000</t>
  </si>
  <si>
    <t>Председатель Совета муниципального образования</t>
  </si>
  <si>
    <t>52 1 00 00000</t>
  </si>
  <si>
    <t>Расходы на обеспечение функций органа местного самоуправления</t>
  </si>
  <si>
    <t>52 1 00 00190</t>
  </si>
  <si>
    <t>Расходы на выплаты персоналу в целях обеспечения выполнения функций муниципальными органами, казенными учреждениями,органами управления государственными внебюджетными фондами</t>
  </si>
  <si>
    <t>100</t>
  </si>
  <si>
    <t>Социальное обеспечение и иные выплаты населению</t>
  </si>
  <si>
    <t>300</t>
  </si>
  <si>
    <t xml:space="preserve">Обеспечение функции Совета муниципального образования </t>
  </si>
  <si>
    <t>52 2 00 00000</t>
  </si>
  <si>
    <t>52 2 00 00190</t>
  </si>
  <si>
    <t>Закупка товаров, работ и услуг для обеспечения государственных (муниципальных) нужд</t>
  </si>
  <si>
    <t>200</t>
  </si>
  <si>
    <t>Иные бюджетные ассигнования</t>
  </si>
  <si>
    <t>800</t>
  </si>
  <si>
    <t>Администрация муниципального образования Северский муниципальный район Краснодарского края</t>
  </si>
  <si>
    <t xml:space="preserve">Функционирование высшего должностного лица субъекта Российской Федерации и  муниципального  образования </t>
  </si>
  <si>
    <t>02</t>
  </si>
  <si>
    <t>Обеспечение деятельности главы муниципального образования</t>
  </si>
  <si>
    <t>50 0 00 00000</t>
  </si>
  <si>
    <t>Высшее должностное лицо</t>
  </si>
  <si>
    <t>50 1 00 00000</t>
  </si>
  <si>
    <t>50 1 00 00190</t>
  </si>
  <si>
    <t xml:space="preserve">Функционирование Правительства Российской Федерации, высших исполнительных органов субъектов Российской Федерации, местных администраций  </t>
  </si>
  <si>
    <t>04</t>
  </si>
  <si>
    <t>Муниципальная программа "Информационное обеспечение и сопровождение деятельности органов местного самоуправления муниципального образования Северский район"</t>
  </si>
  <si>
    <t>30 0 00 00000</t>
  </si>
  <si>
    <t>Информационное обеспечение и сопровождение</t>
  </si>
  <si>
    <t>30 1 00 00000</t>
  </si>
  <si>
    <t>Информационное обеспечение и сопровождение деятельности органов местного самоуправления муниципального образования Северский район</t>
  </si>
  <si>
    <t>30 1 00 10600</t>
  </si>
  <si>
    <t>Обеспечение деятельности администрации</t>
  </si>
  <si>
    <t>51 0 00 00000</t>
  </si>
  <si>
    <t>Обеспечение функции администрации</t>
  </si>
  <si>
    <t>51 1 00 00000</t>
  </si>
  <si>
    <t>51 1 00 00190</t>
  </si>
  <si>
    <t>Расходы на обеспечение выполнения переданных полномочий  поселений</t>
  </si>
  <si>
    <t>51 1 01 00000</t>
  </si>
  <si>
    <t>51 1 01 00190</t>
  </si>
  <si>
    <t>Прочие обязательства</t>
  </si>
  <si>
    <t>51 1 00 10020</t>
  </si>
  <si>
    <t xml:space="preserve">Осуществление отдельных государственных полномочий Краснодарского края по поддержке сельскохозяйственного производства </t>
  </si>
  <si>
    <t>51 1 00 60910</t>
  </si>
  <si>
    <t>Осуществление отдельного государственного полномочия Краснодарского края  по осуществлению регионального государственного строительного надзора в случаях, предусмотренных частью 2 статьи 54 Градостроительного кодекса Российской Федерации</t>
  </si>
  <si>
    <t>51 1 00 63640</t>
  </si>
  <si>
    <t>Административные комиссии</t>
  </si>
  <si>
    <t>51 2 00 00000</t>
  </si>
  <si>
    <t>Осуществление отдельных государственных полномочий по ведению учета граждан отдельных категорий в качестве нуждающихся в жилых помещениях и по формированию списка детей-сирот и детей, оставшихся без попечения родителей, лиц из числа детей-сирот и детей, оставшихся без попечения родителей, лиц, относившихся к категории детей-сирот и детей, оставшихся без попечения родителей, подлежащих обеспечению жилыми помещениями</t>
  </si>
  <si>
    <t>51 2 00 60870</t>
  </si>
  <si>
    <t>Осуществление отдельных  государственных полномочий  по созданию и организации деятельности комиссий по делам несовершеннолетних и защите их прав</t>
  </si>
  <si>
    <t>51 2 00 69200</t>
  </si>
  <si>
    <t xml:space="preserve">Осуществление отдельных государственных полномочий по предоставлению лицам, которые относились к категории детей-сирот и детей, оставшихся без попечения родителей, лиц из числа детей-сирот и детей, оставшихся без попечения родителей, и достигли возраста 23 лет, выплаты на приобретение благоустроенного жилого помещения в собственность или для полного погашения предоставленного на приобретение жилого помещения кредита (займа) по договору, обязательства заемщика по которому обеспечены ипотекой </t>
  </si>
  <si>
    <t>51 2 00 69210</t>
  </si>
  <si>
    <t>Другие непрограммные направления деятельности органов местного самоуправления</t>
  </si>
  <si>
    <t>99 0 00 00000</t>
  </si>
  <si>
    <t>Непрограммные расходы</t>
  </si>
  <si>
    <t>99 9 00 00000</t>
  </si>
  <si>
    <t>Осуществление отдельного государственного полномочия Краснодарского края  по формированию списков семей и граждан, жилые помещения которых утрачены в результате чрезвычайных ситуаций природного и техногенного характера на территории Краснодарского края, и (или) списков граждан, жилые помещения которых повреждены в результате чрезвычайных ситуаций природного и техногенного характера на территории Краснодарского края</t>
  </si>
  <si>
    <t>99 9 00 60070</t>
  </si>
  <si>
    <t>Судебная система</t>
  </si>
  <si>
    <t>05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</si>
  <si>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</si>
  <si>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51 2 00 51200</t>
  </si>
  <si>
    <t>Другие общегосударственные расходы</t>
  </si>
  <si>
    <t>13</t>
  </si>
  <si>
    <t>Муниципальная программа "Региональная политика и развитие гражданского общества в муниципальном образовании Северский муниципальный район Краснодарского края"</t>
  </si>
  <si>
    <t>11 0 00 00000</t>
  </si>
  <si>
    <t>Поддержка территориального общественного самоуправления</t>
  </si>
  <si>
    <t>11 1 00 00000</t>
  </si>
  <si>
    <t>Развитие территориального общественного самоуправления</t>
  </si>
  <si>
    <t>11 1 00 10040</t>
  </si>
  <si>
    <t>Развитие муниципальной службы</t>
  </si>
  <si>
    <t>11 3 00 00000</t>
  </si>
  <si>
    <t>11 3 00 10640</t>
  </si>
  <si>
    <t>Укрепление материально- технической базы муниципальных архивов</t>
  </si>
  <si>
    <t>11 4 00 00000</t>
  </si>
  <si>
    <t>11 4 00 20280</t>
  </si>
  <si>
    <t>Совершенствование предоставления муниципальных услуг</t>
  </si>
  <si>
    <t>51 4 00 00000</t>
  </si>
  <si>
    <t>Расходы на обеспечение деятельности (оказание услуг) муниципальных учреждений</t>
  </si>
  <si>
    <t>51 4 00 00590</t>
  </si>
  <si>
    <t>Централизованные бухгалтерии</t>
  </si>
  <si>
    <t>51 5 00 00000</t>
  </si>
  <si>
    <t>51 5 00 00590</t>
  </si>
  <si>
    <t>Обеспечение хозяйственного обслуживания</t>
  </si>
  <si>
    <t>51 6 00 00000</t>
  </si>
  <si>
    <t>51 6 00 00590</t>
  </si>
  <si>
    <t>Осуществление капитального ремонта</t>
  </si>
  <si>
    <t>51 6 00 09020</t>
  </si>
  <si>
    <t>Управление имуществом</t>
  </si>
  <si>
    <t>53 0 00 00000</t>
  </si>
  <si>
    <t>Мероприятия в рамках управления имуществом</t>
  </si>
  <si>
    <t>53 1 00 00000</t>
  </si>
  <si>
    <t>53 1 00 00590</t>
  </si>
  <si>
    <t>53 1 00 09020</t>
  </si>
  <si>
    <t>Управление муниципальным имуществом, связанное с оценкой недвижимости, признанием прав  и регулированием отношений по муниципальной собственности</t>
  </si>
  <si>
    <t>53 1 00 10070</t>
  </si>
  <si>
    <t>Капитальные вложения в объекты государственной (муниципальной) собственности</t>
  </si>
  <si>
    <t>400</t>
  </si>
  <si>
    <t>Развитие общественной инфраструктуры муниципального значения</t>
  </si>
  <si>
    <t>53 1 00 10820</t>
  </si>
  <si>
    <t>99 9 00 10020</t>
  </si>
  <si>
    <t>Поддержка местных инициатив граждан по вопросам развития территорий</t>
  </si>
  <si>
    <t>99 9 00 20110</t>
  </si>
  <si>
    <t>Национальная оборона</t>
  </si>
  <si>
    <t>Мобилизационная подготовка экономики</t>
  </si>
  <si>
    <t>Обеспечение функций администрации</t>
  </si>
  <si>
    <t>Мероприятия по обеспечению мобилизационной готовности экономики</t>
  </si>
  <si>
    <t>51 1 00 10190</t>
  </si>
  <si>
    <t>Национальная безопасность и правоохранительная деятельность</t>
  </si>
  <si>
    <t>Гражданская оборона</t>
  </si>
  <si>
    <t>09</t>
  </si>
  <si>
    <t>Муниципальная программа «Защита населения и территории муниципального образования Северский район от чрезвычайных ситуаций природного и техногенного характера»</t>
  </si>
  <si>
    <t>32 0 00 00000</t>
  </si>
  <si>
    <t>Мероприятия по  предупреждению и ликвидации чрезвычайных ситуаций, стихийных бедствий и их последствий в Северском районе</t>
  </si>
  <si>
    <t>32 1 00 00000</t>
  </si>
  <si>
    <t>Подготовка  населения и организаций к действиям в чрезвычайной ситуации в мирное и военное время</t>
  </si>
  <si>
    <t>32 1 00 10110</t>
  </si>
  <si>
    <t>Защита населения и территории от чрезвычайных ситуаций природного и техногенного характера, пожарная безопасность</t>
  </si>
  <si>
    <t>10</t>
  </si>
  <si>
    <t>Мероприятия по  предупреждению и ликвидации чрезвычайных ситуаций, стихийных бедствий природного и техногенного характера</t>
  </si>
  <si>
    <t>32 1 00 10100</t>
  </si>
  <si>
    <t>05 1 00 10100</t>
  </si>
  <si>
    <t>Предоставление субсидий бюджетным, автономным учреждениям и иным некоммерческим организациям</t>
  </si>
  <si>
    <t>600</t>
  </si>
  <si>
    <t>32 1 00 00590</t>
  </si>
  <si>
    <t>32 1 01 00000</t>
  </si>
  <si>
    <t>32 1 01 00590</t>
  </si>
  <si>
    <t xml:space="preserve">Построение,модернизация, развитие и эксплуатация аппаратно-программного комплекса "Безопасный город" на территории Северского района </t>
  </si>
  <si>
    <t>32 2 00 00000</t>
  </si>
  <si>
    <t>32 2 00 00590</t>
  </si>
  <si>
    <t>АПК «Безопасный город»</t>
  </si>
  <si>
    <t>32 2 00 10220</t>
  </si>
  <si>
    <t>Финансовое обеспечение непредвиденных расходов за счет средств резервного фонда администрации муниципального образования Северский муниципальный район</t>
  </si>
  <si>
    <t>99 9 00 20300</t>
  </si>
  <si>
    <t>Другие вопросы в области национальной безопасности и правоохранительной деятельности</t>
  </si>
  <si>
    <t>14</t>
  </si>
  <si>
    <t>Муниципальная программа "Обеспечение безопасности населения и развитие казачества"</t>
  </si>
  <si>
    <t>05 0 00 00000</t>
  </si>
  <si>
    <t>Укрепление правопорядка, профилактика правонарушений, усиление борьбы с преступностью в Северском районе</t>
  </si>
  <si>
    <t>05 2 00 00000</t>
  </si>
  <si>
    <t>Укрепление правопорядка, профилактика правонарушений</t>
  </si>
  <si>
    <t>05 2 00 10170</t>
  </si>
  <si>
    <t>Противодействие коррупции в Северском районе</t>
  </si>
  <si>
    <t>05 5 00 00000</t>
  </si>
  <si>
    <t xml:space="preserve">Противодействие коррупции  </t>
  </si>
  <si>
    <t xml:space="preserve">05 5 00 10160 </t>
  </si>
  <si>
    <t>Поддержка и развитие Кубанского казачества</t>
  </si>
  <si>
    <t>05 6 00 00000</t>
  </si>
  <si>
    <t>05 6 00 10180</t>
  </si>
  <si>
    <t>Национальная экономика</t>
  </si>
  <si>
    <t>Сельское хозяйство и рыболовство</t>
  </si>
  <si>
    <t>Муниципальная программа "Развитие сельского хозяйства и регулирование рынков сельскохозяйственной продукции, сырья и продовольствия"</t>
  </si>
  <si>
    <t>16 0 00 00000</t>
  </si>
  <si>
    <t>Развитие сельского хозяйства и регулирование рынков сельскохозяйственной продукции, сырья и продовольствия</t>
  </si>
  <si>
    <t>16 1 00 00000</t>
  </si>
  <si>
    <t>Мероприятия по предупреждению и ликвидации болезней сельскохозяйственных животных, защита населения от болезней, общих для человека и животных</t>
  </si>
  <si>
    <t>16 1 01 00000</t>
  </si>
  <si>
    <t>Мероприятия, направленные на повышение престижа сельскохозяйственных профессий</t>
  </si>
  <si>
    <t>16 1 00 10240</t>
  </si>
  <si>
    <t>Осуществление государственных полномочий Краснодарского края в области обращения с животными, предусмотренных законодательством в области обращения с животными, в том числе организации мероприятий при осуществлении деятельности по обращению  с животными без владельцев территории муниципальных образований Краснодарского края</t>
  </si>
  <si>
    <t>16 1 01 61650</t>
  </si>
  <si>
    <t>16 1 02 00000</t>
  </si>
  <si>
    <t>16 1 02 10240</t>
  </si>
  <si>
    <t>Мероприятия, направленные на развитие малых форм хозяйствования</t>
  </si>
  <si>
    <t>16 1 03 00000</t>
  </si>
  <si>
    <t>Осуществление отдельных государственных полномочий Краснодарского края по поддержке сельскохозяйственного производства</t>
  </si>
  <si>
    <t>16 1 03 60910</t>
  </si>
  <si>
    <t>Мероприятия, направленные на развитие малых форм хозяйствования. Осуществление отдельных государственных полномочий Краснодарского края по поддержке сельскохозяйственного производства в Краснодарском крае в части предоставления субсидий гражданам, ведущим личное подсобное хозяйство, крестьянским (фермерским) хозяйствам, индивидуальным предпринимателям, осуществляющим деятельность, а также в части согласования севооборота в специальных семеноводческих зонах</t>
  </si>
  <si>
    <t>16 2 00 00000</t>
  </si>
  <si>
    <t>Государственная финансовая поддержка крестьянских (фермерских) хозяйств и индивидуальных предпринимателей, ведущих деятельность в области сельскохозяйственного производства</t>
  </si>
  <si>
    <t>16 2 01 00000</t>
  </si>
  <si>
    <t>Осуществление отдельных государственных полномочий Краснодарского края по поддержке сельскохозяйственного производства (предоставление субсидий в целях возмещения части затрат  на приобретение племенных сельскохозяйственных животных, а также товарных сельскохозяйственных животных (коров, нетелей, овцематок, ремонтных телок, ярочек, козочек), предназначенных для воспроизводства)</t>
  </si>
  <si>
    <t>16 2 01 60911</t>
  </si>
  <si>
    <t>Осуществление отдельных государственных полномочий Краснодарского края по поддержке сельскохозяйственного производства (предоставление субсидий в целях возмещения части затрат на строительство теплиц для выращивания овощей и (или) ягод в защищенном грунте)</t>
  </si>
  <si>
    <t>16 2 01 60912</t>
  </si>
  <si>
    <t>Осуществление отдельных государственных полномочий Краснодарского края по поддержке сельскохозяйственного производства (предоставление субсидий в целях возмещения части затрат на приобретение систем капельного орошения для ведения овощеводства и оплату услуг на установку систем капельного орошения)</t>
  </si>
  <si>
    <t>16 2 01 60913</t>
  </si>
  <si>
    <t>Наращивание поголовья КРС</t>
  </si>
  <si>
    <t>16 2 01 60915</t>
  </si>
  <si>
    <t>Реализация произведенной продукции животноводства</t>
  </si>
  <si>
    <t>16 2 01 60916</t>
  </si>
  <si>
    <t>Предупреждение болезней сельскохозяйственных животных, защита населения от болезней, общих для человека и животных, принятие превентивных мер по недопущению распространения карантинных и особо опасных объектов на территории Северского района</t>
  </si>
  <si>
    <t>16 3 00 00000</t>
  </si>
  <si>
    <t>Мероприятия по предупреждению и ликвидации болезней сельскохозяйственных животных, защита населения от болезней, общих для человека и животных. Принятие превентивных мер по недопущению распространения карантинных и особо опасных объектов на территории Северского района</t>
  </si>
  <si>
    <t>16 3 00 10230</t>
  </si>
  <si>
    <t>Осуществление государственных полномочий Краснодарского края в области обращения с животными, предусмотренных законодательством в области обращения с животными, в том числе организации мероприятий при осуществлении деятельности по обращению  с животными без владельцев территории муниципальных образований Краснодарского края и федеральной территории "Сириус"</t>
  </si>
  <si>
    <t>16 3 0061650</t>
  </si>
  <si>
    <t>Транспорт</t>
  </si>
  <si>
    <t>08</t>
  </si>
  <si>
    <t>Муниципальная программа "Социально-экономическое и инновационное развитие муниципального образования Северский район"</t>
  </si>
  <si>
    <t>26 0 00 00000</t>
  </si>
  <si>
    <t>Поддержка малого и среднего предпринимательства в Северском районе</t>
  </si>
  <si>
    <t>26 3 00 00000</t>
  </si>
  <si>
    <t>Субсидии предприятиям пассажирского транспорта, в целях возмещения части затрат на выполнение работ по осуществлению регулярных перевозок по регулируемым тарифам</t>
  </si>
  <si>
    <t>26 3 00 10350</t>
  </si>
  <si>
    <t>Дорожное хозяйство (дорожные фонды)</t>
  </si>
  <si>
    <t>Муниципальная программа "Комплексное и устойчивое развитие Северского района в сфере дорожного хозяйства"</t>
  </si>
  <si>
    <t>04 0 00 00000</t>
  </si>
  <si>
    <t>Дорожная деятельность в отношении автомобильных дорог местного значения</t>
  </si>
  <si>
    <t>04 1 00 00000</t>
  </si>
  <si>
    <t>Мероприятия финансируемые за счет средств дорожного фонда</t>
  </si>
  <si>
    <t>04 1 00 9Д000</t>
  </si>
  <si>
    <t xml:space="preserve">Капитальные вложения в объекты государственной (муниципальной) собственности </t>
  </si>
  <si>
    <t>Капитальный ремонт и ремонт автомобильных дорог общего пользования местного значения</t>
  </si>
  <si>
    <t>04 1 00 SД060</t>
  </si>
  <si>
    <t>Связи и информатика</t>
  </si>
  <si>
    <t>Муниципальная программа "Информатизация Северского района"</t>
  </si>
  <si>
    <t>29 0 00 00000</t>
  </si>
  <si>
    <t>Информационный Северский район</t>
  </si>
  <si>
    <t>29 1 00 00000</t>
  </si>
  <si>
    <t>Информатизация администрации муниципального образования Северский район</t>
  </si>
  <si>
    <t>29 1 00 10620</t>
  </si>
  <si>
    <t>Другие вопросы в области национальной экономики</t>
  </si>
  <si>
    <t>12</t>
  </si>
  <si>
    <t xml:space="preserve">Формирование и продвижение экономической и инвестиционной привлекательности муниципального образования Северский район </t>
  </si>
  <si>
    <t>26 2 00 00000</t>
  </si>
  <si>
    <t>Формирование и продвижение экономической и инвестиционной привлекательности Северского района за его пределами</t>
  </si>
  <si>
    <t>26 2 00 10280</t>
  </si>
  <si>
    <t>Поддержка малого и среднего предпринимательства</t>
  </si>
  <si>
    <t>26 3 00 10300</t>
  </si>
  <si>
    <t>Мероприятия по землеустройству и землепользованию</t>
  </si>
  <si>
    <t>53 1 00 10080</t>
  </si>
  <si>
    <t>Жилищно-коммунальное хозяйство</t>
  </si>
  <si>
    <t>Жилищное хозяйство</t>
  </si>
  <si>
    <t>Муниципальная программа "Переселение граждан из аварийного жилищного фонда на территории Северского муниципального района Краснодарского края"</t>
  </si>
  <si>
    <t>31 0 00 00000</t>
  </si>
  <si>
    <t>Переселение граждан из аварийного жилищного фонда</t>
  </si>
  <si>
    <t>31 1 00 00000</t>
  </si>
  <si>
    <t>Обеспечение мероприятий по переселению граждан из аварийного жилищного фонда</t>
  </si>
  <si>
    <t>31 1 00 10780</t>
  </si>
  <si>
    <t>Коммунальное хозяйство</t>
  </si>
  <si>
    <t>Муниципальная программа "Развитие топливно-энергетического комплекса"</t>
  </si>
  <si>
    <t>17 0 00 00000</t>
  </si>
  <si>
    <t>Модернизация систем теплоснабжения и обеспечение их устойчивого функционирования в муниципальном образовании Северский район на период  2015 - 2017 годы</t>
  </si>
  <si>
    <t>17 1 00 00000</t>
  </si>
  <si>
    <t>Мероприятия в области коммунального хозяйства</t>
  </si>
  <si>
    <t>17 1 00 10480</t>
  </si>
  <si>
    <t>Муниципальная программа "Социально-экономическое и инновационное развитие муниципального  образования Северский район"</t>
  </si>
  <si>
    <t>Развитие общественной инфраструктуры  муниципального значения</t>
  </si>
  <si>
    <t>26 1 00 00000</t>
  </si>
  <si>
    <t>26 1 00 10820</t>
  </si>
  <si>
    <t>Развитие коммунальной инфраструктуры муниципального значения</t>
  </si>
  <si>
    <t>26 1 00 10840</t>
  </si>
  <si>
    <t>Организация водоснабжения населения</t>
  </si>
  <si>
    <t>26 1 00 S0330</t>
  </si>
  <si>
    <t>Развитие жилищно-коммунального хозяйства</t>
  </si>
  <si>
    <t>61 0 00 00000</t>
  </si>
  <si>
    <t>Другие мероприятия в области жилищно-коммунального хозяйства</t>
  </si>
  <si>
    <t>61 5 00 00000</t>
  </si>
  <si>
    <t>Субсидии в целях формирования уставного фонда МУП «Водоканал»</t>
  </si>
  <si>
    <t>61 5 00 10471</t>
  </si>
  <si>
    <t>Субсидии на финансовое обеспечение затрат МУП «Водоканал»</t>
  </si>
  <si>
    <t>61 5 00 10472</t>
  </si>
  <si>
    <t>Благоустройство</t>
  </si>
  <si>
    <t>Муниципальная программа "Развитие топливно-энергетического комплекса и жилищно-коммунального хозяйства"</t>
  </si>
  <si>
    <t>Энергосбережение и повышение энергетической эффективности в муниципальном образовании Северский район</t>
  </si>
  <si>
    <t>17 3 00 00000</t>
  </si>
  <si>
    <t>Участие в организации деятельности по накоплению (в том числе раздельному накоплению) и транспортированию  твердых коммунальных отходов (местный бюджет)</t>
  </si>
  <si>
    <t>17 3 00 10440</t>
  </si>
  <si>
    <t>Участие в организации деятельности по накоплению (в том числе раздельному накоплению) и транспортированию твердых коммунальных отходов (приобретение контейнеров для накопления твердых коммунальных отходов)</t>
  </si>
  <si>
    <t>17 3 00 S0500</t>
  </si>
  <si>
    <t>ОХРАНА ОКРУЖАЮЩЕЙ СРЕДЫ</t>
  </si>
  <si>
    <t>06</t>
  </si>
  <si>
    <t>Другие вопросы в области охраны окружающей среды</t>
  </si>
  <si>
    <r>
      <rPr>
        <sz val="12"/>
        <rFont val="Times New Roman"/>
        <family val="1"/>
        <charset val="204"/>
      </rPr>
      <t xml:space="preserve">Расходы </t>
    </r>
    <r>
      <rPr>
        <sz val="12"/>
        <color rgb="FF000000"/>
        <rFont val="Times New Roman"/>
        <family val="1"/>
        <charset val="204"/>
      </rPr>
      <t>в соответствии с планом мероприятий, указанных в пункте 1 статьи 16.6, пункте 1 статьи 75.1 и пункте 1 статьи 78.2 Федерального закона от 10 января 2002 года  №7-ФЗ «Об охране окружающей среды», утвержденным уполномоченным органом исполнительной власти Краснодарского края по согласованию с уполномоченным Правительством Российской Федерации федеральным органом исполнительной власти</t>
    </r>
  </si>
  <si>
    <t>99 9 00 10250</t>
  </si>
  <si>
    <t xml:space="preserve">Образование </t>
  </si>
  <si>
    <t>07</t>
  </si>
  <si>
    <t xml:space="preserve">Дошкольное образование </t>
  </si>
  <si>
    <t>Строительство, реконструкция (в том числе реконструкция объектов незавершенного строительства), техническое перевооружение, приобретение объектов дошкольного образования</t>
  </si>
  <si>
    <t>26 1 00 S1220</t>
  </si>
  <si>
    <t>Другие вопросы в области образования</t>
  </si>
  <si>
    <t>Муниципальная программа "Дети Северского района"</t>
  </si>
  <si>
    <t>03 0 00 00000</t>
  </si>
  <si>
    <t>Реализация мероприятий муниципальной программы "Дети Северского района"</t>
  </si>
  <si>
    <t>03 1 00 00000</t>
  </si>
  <si>
    <t>Профилактика безнадзорности и правонарушений несовершеннолетних</t>
  </si>
  <si>
    <t>03 1 01 00000</t>
  </si>
  <si>
    <t>Дети Северского района</t>
  </si>
  <si>
    <t>03 1 01 10510</t>
  </si>
  <si>
    <t xml:space="preserve">Культура, кинематография </t>
  </si>
  <si>
    <t>Культура</t>
  </si>
  <si>
    <t>Гармонизация межнациональных отношений и развитие национальных культур</t>
  </si>
  <si>
    <t>11 2 00 00000</t>
  </si>
  <si>
    <t>11 2 00 10760</t>
  </si>
  <si>
    <t>Поддержка религиозных организаций традиционных конфессий в Северском районе</t>
  </si>
  <si>
    <t>11 7 00 00000</t>
  </si>
  <si>
    <t>Поддержка религиозных организаций традиционных конфессий</t>
  </si>
  <si>
    <t>11 7 00 10530</t>
  </si>
  <si>
    <t>ЗДРАВООХРАНЕНИЕ</t>
  </si>
  <si>
    <t>Амбулаторная помощь</t>
  </si>
  <si>
    <t xml:space="preserve">Региональный проект "Модернизация первичного звена здравоохранения Российской Федерации (Краснодарский край)" </t>
  </si>
  <si>
    <t>26 1 Д1 00000</t>
  </si>
  <si>
    <t>Реализация региональных проектов модернизации первичного звена здравоохранения (осуществление отдельных государственных полномочий по строительству зданий, включая проектно-изыскательские работы, для размещения фельдшерско-акушерских пунктов, фельдшерских пунктов, врачебных амбулаторий и офисов врача общей практики, а также строительство иных объектов здравоохранения, начатое до 1 января 2019 года, необходимых для организации оказания медицинской помощи в соответствии с территориальной программой государственных гарантий бесплатного оказания гражданам медицинской помощи в Краснодарском крае)</t>
  </si>
  <si>
    <t>26 1 Д1 А3651</t>
  </si>
  <si>
    <t>Социальная политика</t>
  </si>
  <si>
    <t>Пенсионное обеспечение</t>
  </si>
  <si>
    <t>Реализация муниципальных функций, связанных с муниципальным управлением</t>
  </si>
  <si>
    <t>51 7 00 00000</t>
  </si>
  <si>
    <t>Доплата к пенсиям муниципальных служащих</t>
  </si>
  <si>
    <t>51 7 00 10030</t>
  </si>
  <si>
    <t>Социальное обеспечение населения</t>
  </si>
  <si>
    <t>Поддержка социально-ориентированных некоммерческих организаций в Северском районе</t>
  </si>
  <si>
    <t>11 8 00 00000</t>
  </si>
  <si>
    <t>11 8 00 10590</t>
  </si>
  <si>
    <t>Муниципальная программа "Управление муниципальными финансами"</t>
  </si>
  <si>
    <t>18 0 00 00000</t>
  </si>
  <si>
    <t>Резервный фонд администрации муниципального образования Северский район</t>
  </si>
  <si>
    <t>18 5 00 00000</t>
  </si>
  <si>
    <t>Выплаты гражданам за счет средств резервного фонда администрации муниципального образования Северский район</t>
  </si>
  <si>
    <t>18 5 00 1001П</t>
  </si>
  <si>
    <t>Оказание мер социальной поддержки отдельных категорий граждан в виде приобретения и установки автономных дымовых пожарных извещателей в жилых помещениях, в которых проживают малоимущие многодетные семьи, семьи, находящиеся в трудной жизненной ситуации, в социально опасном положении</t>
  </si>
  <si>
    <t>99 9 00 20250</t>
  </si>
  <si>
    <t>Единовременная денежная выплата гражданам Российской Федерации,  заключившим контракт о прохождении военной службы в  Вооруженных Силах Российской Федерации в целях участия в специальной военной операции через пункт отбора военного комиссариата Абинского и Северского районов Краснодарского края</t>
  </si>
  <si>
    <t>99 9 00 20270</t>
  </si>
  <si>
    <t xml:space="preserve">Предоставление дополнительных  мер  социальной поддержки в муниципальном образовании Северский район в виде единовременной денежной выплаты некоторым категориям граждан РФ в связи с празднованием  ВОВ 1941-1945гг. </t>
  </si>
  <si>
    <t>99 9 00 20200</t>
  </si>
  <si>
    <t>Охрана семьи и детства</t>
  </si>
  <si>
    <t>Дети-сироты</t>
  </si>
  <si>
    <t>03 1 04 00000</t>
  </si>
  <si>
    <t xml:space="preserve">Осуществление отдельных государственных полномочий по обеспечению детей-сирот и детей, оставшихся без попечения родителей, лиц из числа детей-сирот и детей, оставшихся без попечения родителей, жилыми помещениями </t>
  </si>
  <si>
    <t>03 1 04 А0820</t>
  </si>
  <si>
    <t>03 1 04 R0820</t>
  </si>
  <si>
    <t>Муниципальная программа "Обеспечение жильем молодых семей в муниципальном образовании Северский район"</t>
  </si>
  <si>
    <t>22 0 00 00000</t>
  </si>
  <si>
    <t>Обеспечение жильем молодых семей</t>
  </si>
  <si>
    <t>22 1 00 00000</t>
  </si>
  <si>
    <t>Субсидии на реализацию мероприятий по обеспечению жильем молодых семей</t>
  </si>
  <si>
    <t>22 1 00 L4970</t>
  </si>
  <si>
    <t>Другие вопросы в области социальной политики</t>
  </si>
  <si>
    <t>Реализация основных мероприятий муниципальной программы "Дети Северского района"</t>
  </si>
  <si>
    <t>Дети- сироты</t>
  </si>
  <si>
    <t>Осуществление отдельных государственных полномочий по организации и осуществлению деятельности по опеке и попечительству в отношении несовершеннолетних</t>
  </si>
  <si>
    <t>03 1 04 69190</t>
  </si>
  <si>
    <t>Физическая культура и спорт</t>
  </si>
  <si>
    <t>11</t>
  </si>
  <si>
    <t>Физическая культура</t>
  </si>
  <si>
    <t>Строительство спортивных сооружений и развитие массового спорта</t>
  </si>
  <si>
    <t>26 1 00 10560</t>
  </si>
  <si>
    <t>Обслуживание государственного (муниципального) долга</t>
  </si>
  <si>
    <t>Обслуживание государственного (муниципального) внутреннего долга</t>
  </si>
  <si>
    <t xml:space="preserve">Управление муниципальным долгом </t>
  </si>
  <si>
    <t>18 3 00 00000</t>
  </si>
  <si>
    <t>Процентные платежи по муниципальному долгу</t>
  </si>
  <si>
    <t>18 3 00 10090</t>
  </si>
  <si>
    <t>Обслуживание муниципального долга</t>
  </si>
  <si>
    <t>700</t>
  </si>
  <si>
    <t>Финансовое управление администрации муниципального образования Северский муниципальный район Краснодарского края</t>
  </si>
  <si>
    <t>Обеспечение деятельности финансовых, налоговых и таможенных органов и органов финансового (финансово-бюджетного) надзора</t>
  </si>
  <si>
    <t>Организация бюджетного процесса в муниципальном образовании</t>
  </si>
  <si>
    <t>18 1 00 00000</t>
  </si>
  <si>
    <t>18 1 00 00190</t>
  </si>
  <si>
    <t>18 1 01 00000</t>
  </si>
  <si>
    <t>18 1 01 00190</t>
  </si>
  <si>
    <t>Обеспечение реализации программы</t>
  </si>
  <si>
    <t>18 2 00 00000</t>
  </si>
  <si>
    <t>18 2 00 00190</t>
  </si>
  <si>
    <t>Резервные фонды</t>
  </si>
  <si>
    <t>Резервный фонд администрации</t>
  </si>
  <si>
    <t>18 5 00 10010</t>
  </si>
  <si>
    <t>Межбюджетные трансферты общего характера бюджетам бюджетной системы Российской Федерации</t>
  </si>
  <si>
    <t>Дотации  на выравнивание бюджетной обеспеченности субъектов Российской Федерации и  муниципальных образований</t>
  </si>
  <si>
    <t>Предоставление межбюджетных трансфертов</t>
  </si>
  <si>
    <t>18 4 00 00000</t>
  </si>
  <si>
    <t>Выравнивание бюджетной обеспеченности</t>
  </si>
  <si>
    <t>18 4 00 20030</t>
  </si>
  <si>
    <t>Межбюджетные трансферты</t>
  </si>
  <si>
    <t>500</t>
  </si>
  <si>
    <t>Прочие межбюджетные трансферты общего характера</t>
  </si>
  <si>
    <t>Иные межбюджетные трансферты на поддержку мер по обеспечению сбалансированности бюджетов поселений</t>
  </si>
  <si>
    <t>18 4 00 20220</t>
  </si>
  <si>
    <t>Контрольно-счетная палата муниципального образования Северский муниципальный район Краснодарского края</t>
  </si>
  <si>
    <t>Обеспечение деятельности Контрольно-счетной палаты муниципального образования Северский район</t>
  </si>
  <si>
    <t>55 0 00 00000</t>
  </si>
  <si>
    <t>Руководитель Контрольно-счетной палаты, его заместители и аудиторы</t>
  </si>
  <si>
    <t>55 1 00 00000</t>
  </si>
  <si>
    <t>55 1 00 00190</t>
  </si>
  <si>
    <t>Контрольно-счетная палата</t>
  </si>
  <si>
    <t>55 2 00 00000</t>
  </si>
  <si>
    <t>55 2 00 00190</t>
  </si>
  <si>
    <t>55 2 01 00000</t>
  </si>
  <si>
    <t>55 2 01 00190</t>
  </si>
  <si>
    <t>Управление образования администрации муниципального образования Северский муниципальный район Краснодарского края</t>
  </si>
  <si>
    <t>Муниципальная программа "Развитие образования "</t>
  </si>
  <si>
    <t>01 0 00 00000</t>
  </si>
  <si>
    <t xml:space="preserve">Развитие образования </t>
  </si>
  <si>
    <t>01 1 00 00000</t>
  </si>
  <si>
    <t>01 1 00 10820</t>
  </si>
  <si>
    <t xml:space="preserve">Финансовое обеспечение государственных гарантий реализации прав на получение общедоступного и бесплатного дошкольного образования </t>
  </si>
  <si>
    <t>01 1 51 00000</t>
  </si>
  <si>
    <t>01 1 51 00590</t>
  </si>
  <si>
    <t>01 1 51 09020</t>
  </si>
  <si>
    <t>Реализация мероприятий в области образования</t>
  </si>
  <si>
    <t>01 1 51 10500</t>
  </si>
  <si>
    <t>Осуществление отдельных государственных полномочий по предоставлению мер социальной поддержки в виде компенсации расходов на оплату жилых помещений, отопления и освещения педагогическим работникам муниципальных образовательных организаций, проживающим и работающим в сельских населенных пунктах, рабочих поселках (поселках городского типа) на территории Краснодарского края</t>
  </si>
  <si>
    <t>01 1 51 60820</t>
  </si>
  <si>
    <t>Осуществление государственных полномочий по финансовому обеспечению государственных гарантий реализации прав на получение общедоступного и бесплатного образования в муниципальных дошкольных и общеобразовательных организациях</t>
  </si>
  <si>
    <t>01 1 51 60860</t>
  </si>
  <si>
    <t>Дополнительная помощь местным бюджетам для решения социально значимых вопросов местного значения</t>
  </si>
  <si>
    <t>01 1 51 62980</t>
  </si>
  <si>
    <t>Осуществление государственных полномочий по финансовому обеспечению получения образования в частных дошкольных и общеобразовательных организациях</t>
  </si>
  <si>
    <t>01 1 51 62460</t>
  </si>
  <si>
    <t>Исполнение судебных  решений и предписаний надзорных органов</t>
  </si>
  <si>
    <t>01 1 54 00000</t>
  </si>
  <si>
    <t>Осуществление и капитального ремонта</t>
  </si>
  <si>
    <t>01 1 54 09020</t>
  </si>
  <si>
    <t>01 1 54 10500</t>
  </si>
  <si>
    <t>Муниципальная программа «Доступная среда»</t>
  </si>
  <si>
    <t>02 0 00 00000</t>
  </si>
  <si>
    <t>Доступная среда</t>
  </si>
  <si>
    <t>02 1 00 00000</t>
  </si>
  <si>
    <t>Обеспечение доступности для инвалидов и других маломобильных граждан объектов социальной инфраструктуры</t>
  </si>
  <si>
    <t>02 1 00 10660</t>
  </si>
  <si>
    <t>Энергосбережение и повышение энергетической эффективности</t>
  </si>
  <si>
    <t>17 3 00 10340</t>
  </si>
  <si>
    <t>Общее образование</t>
  </si>
  <si>
    <t>Муниципальная программа "Развитие образования"</t>
  </si>
  <si>
    <t>Развитие образования</t>
  </si>
  <si>
    <t xml:space="preserve">Финансовое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</t>
  </si>
  <si>
    <t>01 1 52 00000</t>
  </si>
  <si>
    <t>01 1 52 00590</t>
  </si>
  <si>
    <t>01 1 52 09020</t>
  </si>
  <si>
    <t>01 1 52 10500</t>
  </si>
  <si>
    <t>01 1 52 60820</t>
  </si>
  <si>
    <t>01 1 52 60860</t>
  </si>
  <si>
    <t>Осуществление отдельных государственных полномочий по обеспечению одноразовым бесплатным питанием учащихся из многодетных семей в муниципальных общеобразовательных организациях (за исключением обучающихся по образовательным программам начального общего образования, обучающихся с ограниченными возможностями здоровья и детей-инвалидов (инвалидов), не являющихся обучающимися с ограниченными возможностями здоровья, получающих основное общее и среднее общее образование)</t>
  </si>
  <si>
    <t>01 1 52 62370</t>
  </si>
  <si>
    <t xml:space="preserve">Осуществление отдельных государственных полномочий по материально-техническому обеспечению пунктов проведения экзаменов для государственной итоговой аттестации по образовательным программам основного общего и среднего общего образования и выплате педагогическим работникам, участвующим в проведении государственной итоговой аттестации по образовательным программам основного общего и среднего общего образования, компенсации за работу по подготовке и проведению указанной государственной итоговой аттестации </t>
  </si>
  <si>
    <t>01 1 52 62500</t>
  </si>
  <si>
    <t>Осуществление отдельных государственных полномочий по обеспечению бесплатным двухразовым питанием детей-инвалидов (инвалидов), не являющихся обучающимися с ограниченными возможностями здоровья, получающих начальное общее, основное общее и среднее общее образование в муниципальных общеобразовательных организациях</t>
  </si>
  <si>
    <t>01 1 52 63540</t>
  </si>
  <si>
    <t>01 1 52 62980</t>
  </si>
  <si>
    <t xml:space="preserve"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 (субсидии на организацию бесплатного горячего питания обучающихся по образовательным программам начального общего образования в муниципальных образовательных организациях) </t>
  </si>
  <si>
    <t>01 1 52 L3042</t>
  </si>
  <si>
    <t xml:space="preserve">Организация  предоставления общедоступного и бесплатного дошкольного, начального общего, основного общего, среднего общего образования по основным общеобразовательным программам, дополнительного образования в муниципальных образовательных организациях (проведение капитального ремонта зданий, помещений, сооружений, благоустройство территорий, прилегающих к зданиям и сооружениям) </t>
  </si>
  <si>
    <t>01 1 52 S0100</t>
  </si>
  <si>
    <t>Организация и обеспечение бесплатным горячим питанием обучающихся с ограниченными возможностями здоровья в муниципальных общеобразовательных организациях</t>
  </si>
  <si>
    <t>01 1 52 S3550</t>
  </si>
  <si>
    <t>01 1 52 R3032</t>
  </si>
  <si>
    <t>Региональный проект «Педагоги и наставники»</t>
  </si>
  <si>
    <t>01 1 Ю6 00000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</si>
  <si>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</si>
  <si>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01 1 Ю6 51790</t>
  </si>
  <si>
    <t>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</si>
  <si>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01 1 Ю6 53032</t>
  </si>
  <si>
    <t>Дополнительное образование детей</t>
  </si>
  <si>
    <t>Финансовое обеспечение государственных гарантий реализации прав на получение дополнительного  образования детей</t>
  </si>
  <si>
    <t>01 1 53 00000</t>
  </si>
  <si>
    <t>01 1 53 00590</t>
  </si>
  <si>
    <t>01 1 53 10500</t>
  </si>
  <si>
    <t>01 1 53 60820</t>
  </si>
  <si>
    <t>Обеспечение   функционирования модели персофиницированного финансирования дополнительного образования детей</t>
  </si>
  <si>
    <t>01 1 55 00000</t>
  </si>
  <si>
    <t>01 1 55 00590</t>
  </si>
  <si>
    <t>Профессиональная подготовка, переподготовка и повышение квалификации</t>
  </si>
  <si>
    <t>Повышение социального и профессионального уровня работников образования, формирование современной системы непрерывного образования</t>
  </si>
  <si>
    <t>01 1 03 00000</t>
  </si>
  <si>
    <t>01 1 03 10500</t>
  </si>
  <si>
    <t>Модернизация образования как института воспитания и социального развития</t>
  </si>
  <si>
    <t>01 1 02 00000</t>
  </si>
  <si>
    <t>Закупка товаров, работ и услуг для государственных (муниципальных) нужд</t>
  </si>
  <si>
    <t>01 1 02 10500</t>
  </si>
  <si>
    <t>Финансовое обеспечение деятельности образовательных организаций</t>
  </si>
  <si>
    <t>01 1 50 00000</t>
  </si>
  <si>
    <t>01 1 50 10500</t>
  </si>
  <si>
    <t>Финансовое обеспечение деятельности муниципальных казенных учреждений и органов управления</t>
  </si>
  <si>
    <t>01 1 06 00000</t>
  </si>
  <si>
    <t>01 1 06 00190</t>
  </si>
  <si>
    <t>01 1 06 00590</t>
  </si>
  <si>
    <t>01 1 06 60860</t>
  </si>
  <si>
    <t>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</si>
  <si>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01 1 Ю6 50500</t>
  </si>
  <si>
    <t>Одаренные дети Северского района</t>
  </si>
  <si>
    <t>03 1 02 00000</t>
  </si>
  <si>
    <t>03 1 02 10510</t>
  </si>
  <si>
    <t>Организация отдыха, оздоровления и занятости детей и подростков</t>
  </si>
  <si>
    <t>03 1 03 00000</t>
  </si>
  <si>
    <t>03 1 03 10510</t>
  </si>
  <si>
    <r>
      <rPr>
        <sz val="12"/>
        <rFont val="Times New Roman"/>
        <family val="1"/>
        <charset val="1"/>
      </rPr>
      <t xml:space="preserve">Осуществление отдельных государственных полномочий Краснодарского края по обеспечению отдыха детей в </t>
    </r>
    <r>
      <rPr>
        <sz val="12"/>
        <color rgb="FF22272F"/>
        <rFont val="Times New Roman"/>
        <family val="1"/>
        <charset val="1"/>
      </rPr>
      <t>лагерях с дневным пребыванием</t>
    </r>
    <r>
      <rPr>
        <sz val="12"/>
        <rFont val="Times New Roman"/>
        <family val="1"/>
        <charset val="1"/>
      </rPr>
      <t>, организованных муниципальными общеобразовательными организациями Краснодарского края</t>
    </r>
  </si>
  <si>
    <t>03 1 03 63110</t>
  </si>
  <si>
    <t>Повышение безопасности дорожного движения</t>
  </si>
  <si>
    <t>05 3 00 00000</t>
  </si>
  <si>
    <t>Повышение безопасности дорожного движения в Северском районе</t>
  </si>
  <si>
    <t>05 3 00 10210</t>
  </si>
  <si>
    <t>Профилактика терроризма и экстремизма в Северском районе</t>
  </si>
  <si>
    <t>05 4 00 00000</t>
  </si>
  <si>
    <t>Профилактика терроризма</t>
  </si>
  <si>
    <t>05 4 00 10130</t>
  </si>
  <si>
    <t>Социальная выплата на компенсацию расходов по оплате найма жилых помещений отдельным категориям педагогических работников</t>
  </si>
  <si>
    <t>01 1 50 20230</t>
  </si>
  <si>
    <t>Социальная поддержка (стипендия) студентам, обучающимся по очной форме обучения по договору о целевом обучении</t>
  </si>
  <si>
    <t>01 1 50 20310</t>
  </si>
  <si>
    <t>Осуществление отдельных государственных полномочий по обеспечению выплаты компенсации части родительской платы за присмотр и уход за детьми, посещающими образовательные организации, реализующие образовательную программу дошкольного образования</t>
  </si>
  <si>
    <t>01 1 50 60710</t>
  </si>
  <si>
    <t>ФИЗИЧЕСКАЯ КУЛЬТУРА И СПОРТ</t>
  </si>
  <si>
    <t>Обеспечение   функционирования модели персонифицированного финансирования дополнительного образования детей</t>
  </si>
  <si>
    <t>Спорт высших достижений</t>
  </si>
  <si>
    <t>01 1 53 09020</t>
  </si>
  <si>
    <t>Прохождение программ углубленного медицинского обследования лицами, занимающимися спортом, на различных этапах спортивной подготовки</t>
  </si>
  <si>
    <t>01 1 53 20090</t>
  </si>
  <si>
    <t>Управление культуры администрации  муниципального образования Северский муниципальный район Краснодарского края</t>
  </si>
  <si>
    <t>Муниципальная программа "Развитие культуры"</t>
  </si>
  <si>
    <t>06 0 00 00000</t>
  </si>
  <si>
    <t>Развитие культуры</t>
  </si>
  <si>
    <t>06 1 00 00000</t>
  </si>
  <si>
    <t xml:space="preserve">Развитие и реализация культурного и духовного потенциала каждой личности </t>
  </si>
  <si>
    <t>06 1 01 00000</t>
  </si>
  <si>
    <t>06 1 01 00590</t>
  </si>
  <si>
    <t>06 1 01 10500</t>
  </si>
  <si>
    <t>06 1 01 60820</t>
  </si>
  <si>
    <t>06 1 01 62980</t>
  </si>
  <si>
    <t xml:space="preserve">Культура и кинематография </t>
  </si>
  <si>
    <t>Мероприятия в сфере сохранения и развития культуры</t>
  </si>
  <si>
    <t>06 1 01 10550</t>
  </si>
  <si>
    <t>Государственная  поддержка отрасли культуры</t>
  </si>
  <si>
    <t>06 1 01 L5190</t>
  </si>
  <si>
    <t>Расходы на обеспечение выполнения переданных полномочий поселений</t>
  </si>
  <si>
    <t>06 1 11 00000</t>
  </si>
  <si>
    <t>06 1 11 00590</t>
  </si>
  <si>
    <t>06 1 11 10550</t>
  </si>
  <si>
    <t>Другие вопросы в области культуры, кинематографии</t>
  </si>
  <si>
    <t>Повышение эффективности муниципального управления в сфере культуры Северского района</t>
  </si>
  <si>
    <t>06 1 02 00000</t>
  </si>
  <si>
    <t>06 1 02 00190</t>
  </si>
  <si>
    <t>06 1 02 00590</t>
  </si>
  <si>
    <t>Управление по физической культуре и спорту администрации муниципального образования Северский муниципальный район Краснодарского края</t>
  </si>
  <si>
    <t>Организация отдыха, оздоровления и занятости  детей и подростков</t>
  </si>
  <si>
    <t>Массовый спорт</t>
  </si>
  <si>
    <t>Муниципальная программа "Развитие физической культуры и спорта"</t>
  </si>
  <si>
    <t>08 0 00 00000</t>
  </si>
  <si>
    <t>Развитие физической культуры и спорта</t>
  </si>
  <si>
    <t>08 1 00 00000</t>
  </si>
  <si>
    <t>Мероприятия в области физической культуры и спорта</t>
  </si>
  <si>
    <t>08 1 03 00000</t>
  </si>
  <si>
    <t>08 1 03 10570</t>
  </si>
  <si>
    <t>Развитие учреждений спортивной направленности</t>
  </si>
  <si>
    <t>08 1 02 00000</t>
  </si>
  <si>
    <t>08 1 02 00590</t>
  </si>
  <si>
    <t>08 1 02 10570</t>
  </si>
  <si>
    <t>08 1 02 20090</t>
  </si>
  <si>
    <t xml:space="preserve">Осуществление отдельных государственных полномочий по предоставлению социальной поддержки отдельным категориям работников муниципальных организаций дополнительного образования Краснодарского края отрасли «Физическая культура и спорт», муниципальных физкультурно-спортивных организаций Краснодарского края отрасли «Физическая культура и спорт» и муниципальных организаций дополнительного образования Краснодарского края отрасли «Образование» </t>
  </si>
  <si>
    <t>08 1 02 60740</t>
  </si>
  <si>
    <t>08 1 02 62980</t>
  </si>
  <si>
    <t>Обеспечение условий для развития физической культуры и массового спорта в части оплаты труда инструкторов по спорту</t>
  </si>
  <si>
    <t>08 1 02 S2820</t>
  </si>
  <si>
    <t>Оснащение объектов спортивной инфраструктуры спортивно-технологическим оборудованием</t>
  </si>
  <si>
    <t>08 1 02 Д2280</t>
  </si>
  <si>
    <t>08 1 02 60820</t>
  </si>
  <si>
    <t>08 1 02 L2280</t>
  </si>
  <si>
    <t>Капитальный ремонт муниципальных спортивных объектов в целях обеспечения условий для занятий физической культурой и массовым спортом в муниципальном образовании</t>
  </si>
  <si>
    <t>08 1 02 S0340</t>
  </si>
  <si>
    <t>Другие вопросы в области физической культуры и спорта</t>
  </si>
  <si>
    <t xml:space="preserve">05 </t>
  </si>
  <si>
    <t>Финансовое обеспечение деятельности управления по физической культуре и спорту</t>
  </si>
  <si>
    <t>08 1 04 00000</t>
  </si>
  <si>
    <t>08 1 04 00190</t>
  </si>
  <si>
    <t>Управление опеки и попечительства в отношении несовершеннолетних  администрации муниципального образования Северский  муниципальный район Краснодарского края</t>
  </si>
  <si>
    <t>03 1 04 10510</t>
  </si>
  <si>
    <t>Осуществление отдельных государственных полномочий по оплате проезда детей-сирот и детей, оставшихся без попечения родителей, находящихся под опекой (попечительством), включая предварительную опеку (попечительство), переданных на воспитание в приемную семью или на патронатное воспитание, к месту лечения (отдыха) и обратно</t>
  </si>
  <si>
    <t>03 1 04 69120</t>
  </si>
  <si>
    <t>03 1 04 00190</t>
  </si>
  <si>
    <t>Осуществление отдельных государственных полномочий по выплате ежемесячных денежных средств на содержание детей-сирот и детей, оставшихся без попечения родителей, находящихся под опекой (попечительством), включая предварительную опеку (попечительство), переданных на воспитание в приемную  семью</t>
  </si>
  <si>
    <t>03 1 04 69100</t>
  </si>
  <si>
    <t>Осуществление отдельных государственных полномочий по  выплате ежемесячного вознаграждения, причитающегося приемным родителям за оказание услуг по воспитанию приемных детей</t>
  </si>
  <si>
    <t>03 1 04 69130</t>
  </si>
  <si>
    <t>Осуществление отдельных государственных полномочий Краснодарского края по организации и обеспечению отдыха и оздоровления детей (за исключением организации отдыха детей в каникулярное время)</t>
  </si>
  <si>
    <t>03 1 04 69180</t>
  </si>
  <si>
    <t>Осуществление отдельных государственных полномочий по выявлению обстоятельств, свидетельствующих о необходимости оказания детям-сиротам и детям, оставшимся без попечения родителей, лицам из числа детей-сирот и детей, оставшихся без попечения родителей, содействия в преодолении трудной жизненной ситуации, и осуществлению контроля за использованием детьми-сиротами и детьми, оставшимися без попечения родителей, лицами из числа детей-сирот и детей, оставшихся без попечения родителей, предоставленных им жилых помещений специализированного жилищного фонда</t>
  </si>
  <si>
    <t>03 1 04 69170</t>
  </si>
  <si>
    <t>Управление по молодежной политике администрации муниципального образования Северский  муниципальный район Краснодарского края</t>
  </si>
  <si>
    <t>Молодежная политика</t>
  </si>
  <si>
    <t>Муниципальная программа "Молодежь Северского района"</t>
  </si>
  <si>
    <t>10 0 00 00000</t>
  </si>
  <si>
    <t>Молодежь Северского района</t>
  </si>
  <si>
    <t>10 1 00 00000</t>
  </si>
  <si>
    <t>Гражданское и патриотическое воспитание, творческое, интеллектуальное, духовно-нравственное развитие молодежи</t>
  </si>
  <si>
    <t>10 1 01 00000</t>
  </si>
  <si>
    <t>Проведение мероприятий для детей и молодежи</t>
  </si>
  <si>
    <t>10 1 01 10520</t>
  </si>
  <si>
    <t>Формирование здорового образа жизни молодежи Северского района, профилактика безнадзорности и асоциальных проявлений в подростково-молодежной среде</t>
  </si>
  <si>
    <t>10 1 02 00000</t>
  </si>
  <si>
    <t>10 1 02 10520</t>
  </si>
  <si>
    <t>Содействие экономической самостоятельности молодых граждан, организация трудового воспитания, профессионального самоопределения и занятости молодежи</t>
  </si>
  <si>
    <t>10 1 03 00000</t>
  </si>
  <si>
    <t>10 1 03 10520</t>
  </si>
  <si>
    <t>Организационно-методическое и информационное обеспечение реализации молодежной политики</t>
  </si>
  <si>
    <t>10 1 04 00000</t>
  </si>
  <si>
    <t>10 1 04 10520</t>
  </si>
  <si>
    <t>Финансовое обеспечение деятельности муниципальных учреждений и органов управления</t>
  </si>
  <si>
    <t>10 1 05 00000</t>
  </si>
  <si>
    <t>10 1 05 00590</t>
  </si>
  <si>
    <t>10 1 05 00190</t>
  </si>
  <si>
    <t>»</t>
  </si>
  <si>
    <t>ПРИЛОЖЕНИЕ № 5</t>
  </si>
  <si>
    <t xml:space="preserve">от 13 августа 2026 года № 130
</t>
  </si>
  <si>
    <t xml:space="preserve">от 25 декабря 2025 года  № 41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</si>
</sst>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"/>
    <numFmt numFmtId="166" formatCode="0000000"/>
  </numFmts>
  <fonts count="14" x14ac:knownFonts="1">
    <font>
      <sz val="10"/>
      <name val="Arial Cyr"/>
      <family val="2"/>
      <charset val="204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sz val="12"/>
      <name val="Times New Roman"/>
      <family val="1"/>
      <charset val="1"/>
    </font>
    <font>
      <sz val="12"/>
      <color rgb="FF000000"/>
      <name val="Times New Roman"/>
      <family val="1"/>
      <charset val="204"/>
    </font>
    <font>
      <b/>
      <sz val="12"/>
      <color rgb="FFC9211E"/>
      <name val="Times New Roman"/>
      <family val="1"/>
      <charset val="204"/>
    </font>
    <font>
      <sz val="12"/>
      <color rgb="FF22272F"/>
      <name val="Times New Roman"/>
      <family val="1"/>
      <charset val="1"/>
    </font>
    <font>
      <sz val="14"/>
      <name val="Arial Cyr"/>
      <family val="2"/>
      <charset val="204"/>
    </font>
  </fonts>
  <fills count="13">
    <fill>
      <patternFill patternType="none"/>
    </fill>
    <fill>
      <patternFill patternType="gray125"/>
    </fill>
    <fill>
      <patternFill patternType="solid">
        <fgColor rgb="FFCCCCFF"/>
        <bgColor rgb="FFC0C0C0"/>
      </patternFill>
    </fill>
    <fill>
      <patternFill patternType="solid">
        <fgColor rgb="FFFFCC99"/>
        <bgColor rgb="FFC0C0C0"/>
      </patternFill>
    </fill>
    <fill>
      <patternFill patternType="solid">
        <fgColor rgb="FFFFFFFF"/>
        <bgColor rgb="FFFFFFCC"/>
      </patternFill>
    </fill>
    <fill>
      <patternFill patternType="solid">
        <fgColor rgb="FFFFFFCC"/>
        <bgColor rgb="FFFFFFFF"/>
      </patternFill>
    </fill>
    <fill>
      <patternFill patternType="solid">
        <fgColor rgb="FFCCFFFF"/>
        <bgColor rgb="FFCCFFFF"/>
      </patternFill>
    </fill>
    <fill>
      <patternFill patternType="solid">
        <fgColor rgb="FFCCFFCC"/>
        <bgColor rgb="FFCCFFFF"/>
      </patternFill>
    </fill>
    <fill>
      <patternFill patternType="solid">
        <fgColor rgb="FF99CCFF"/>
        <bgColor rgb="FFCCCCFF"/>
      </patternFill>
    </fill>
    <fill>
      <patternFill patternType="solid">
        <fgColor rgb="FFC0C0C0"/>
        <bgColor rgb="FFCCCCFF"/>
      </patternFill>
    </fill>
    <fill>
      <patternFill patternType="solid">
        <fgColor rgb="FFFFFF99"/>
        <bgColor rgb="FFFFFFCC"/>
      </patternFill>
    </fill>
    <fill>
      <patternFill patternType="solid">
        <fgColor rgb="FF33CCCC"/>
        <bgColor rgb="FF00CCFF"/>
      </patternFill>
    </fill>
    <fill>
      <patternFill patternType="solid">
        <fgColor rgb="FF339966"/>
        <bgColor rgb="FF008080"/>
      </patternFill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</borders>
  <cellStyleXfs count="21">
    <xf numFmtId="0" fontId="0" fillId="0" borderId="0"/>
    <xf numFmtId="0" fontId="1" fillId="2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8" borderId="0" applyBorder="0" applyProtection="0"/>
    <xf numFmtId="0" fontId="1" fillId="3" borderId="0" applyBorder="0" applyProtection="0"/>
    <xf numFmtId="0" fontId="1" fillId="9" borderId="0" applyBorder="0" applyProtection="0"/>
    <xf numFmtId="0" fontId="1" fillId="10" borderId="0" applyBorder="0" applyProtection="0"/>
    <xf numFmtId="0" fontId="1" fillId="8" borderId="0" applyBorder="0" applyProtection="0"/>
    <xf numFmtId="0" fontId="1" fillId="10" borderId="0" applyBorder="0" applyProtection="0"/>
    <xf numFmtId="0" fontId="1" fillId="11" borderId="0" applyBorder="0" applyProtection="0"/>
    <xf numFmtId="0" fontId="1" fillId="3" borderId="0" applyBorder="0" applyProtection="0"/>
    <xf numFmtId="0" fontId="1" fillId="9" borderId="0" applyBorder="0" applyProtection="0"/>
    <xf numFmtId="0" fontId="1" fillId="10" borderId="0" applyBorder="0" applyProtection="0"/>
    <xf numFmtId="0" fontId="1" fillId="8" borderId="0" applyBorder="0" applyProtection="0"/>
    <xf numFmtId="0" fontId="1" fillId="12" borderId="0" applyBorder="0" applyProtection="0"/>
    <xf numFmtId="0" fontId="2" fillId="0" borderId="0"/>
    <xf numFmtId="0" fontId="2" fillId="0" borderId="0"/>
  </cellStyleXfs>
  <cellXfs count="74">
    <xf numFmtId="0" fontId="0" fillId="0" borderId="0" xfId="0"/>
    <xf numFmtId="49" fontId="7" fillId="0" borderId="0" xfId="0" applyNumberFormat="1" applyFont="1" applyAlignment="1">
      <alignment horizontal="center"/>
    </xf>
    <xf numFmtId="0" fontId="7" fillId="0" borderId="0" xfId="0" applyFont="1" applyAlignment="1">
      <alignment horizontal="right"/>
    </xf>
    <xf numFmtId="164" fontId="4" fillId="0" borderId="2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horizontal="center" wrapText="1"/>
    </xf>
    <xf numFmtId="0" fontId="7" fillId="0" borderId="0" xfId="0" applyFont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49" fontId="4" fillId="0" borderId="0" xfId="0" applyNumberFormat="1" applyFont="1" applyAlignment="1">
      <alignment horizontal="center"/>
    </xf>
    <xf numFmtId="49" fontId="4" fillId="0" borderId="0" xfId="0" applyNumberFormat="1" applyFont="1"/>
    <xf numFmtId="164" fontId="4" fillId="0" borderId="0" xfId="0" applyNumberFormat="1" applyFont="1"/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center" vertical="center"/>
    </xf>
    <xf numFmtId="0" fontId="7" fillId="0" borderId="0" xfId="0" applyFont="1" applyAlignment="1" applyProtection="1">
      <alignment horizontal="left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7" fillId="0" borderId="0" xfId="0" applyFont="1" applyProtection="1">
      <protection locked="0"/>
    </xf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1" xfId="0" applyFont="1" applyBorder="1" applyAlignment="1">
      <alignment horizontal="right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7" fillId="0" borderId="1" xfId="0" applyFont="1" applyBorder="1"/>
    <xf numFmtId="1" fontId="3" fillId="0" borderId="2" xfId="0" applyNumberFormat="1" applyFont="1" applyBorder="1" applyAlignment="1">
      <alignment horizontal="center" vertical="center"/>
    </xf>
    <xf numFmtId="1" fontId="4" fillId="0" borderId="2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left" wrapText="1"/>
    </xf>
    <xf numFmtId="0" fontId="3" fillId="0" borderId="2" xfId="0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2" xfId="0" applyNumberFormat="1" applyFont="1" applyBorder="1"/>
    <xf numFmtId="165" fontId="3" fillId="0" borderId="2" xfId="0" applyNumberFormat="1" applyFont="1" applyBorder="1" applyAlignment="1">
      <alignment horizontal="right"/>
    </xf>
    <xf numFmtId="165" fontId="4" fillId="0" borderId="0" xfId="0" applyNumberFormat="1" applyFont="1"/>
    <xf numFmtId="165" fontId="3" fillId="0" borderId="0" xfId="0" applyNumberFormat="1" applyFont="1"/>
    <xf numFmtId="0" fontId="4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center"/>
    </xf>
    <xf numFmtId="49" fontId="4" fillId="0" borderId="2" xfId="0" applyNumberFormat="1" applyFont="1" applyBorder="1" applyAlignment="1">
      <alignment horizontal="center"/>
    </xf>
    <xf numFmtId="49" fontId="4" fillId="0" borderId="2" xfId="0" applyNumberFormat="1" applyFont="1" applyBorder="1"/>
    <xf numFmtId="165" fontId="4" fillId="0" borderId="2" xfId="0" applyNumberFormat="1" applyFont="1" applyBorder="1" applyAlignment="1">
      <alignment horizontal="right"/>
    </xf>
    <xf numFmtId="0" fontId="4" fillId="0" borderId="2" xfId="0" applyFont="1" applyBorder="1" applyAlignment="1">
      <alignment horizontal="left" vertical="top" wrapText="1"/>
    </xf>
    <xf numFmtId="4" fontId="4" fillId="0" borderId="0" xfId="0" applyNumberFormat="1" applyFont="1"/>
    <xf numFmtId="0" fontId="4" fillId="0" borderId="2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164" fontId="4" fillId="0" borderId="2" xfId="0" applyNumberFormat="1" applyFont="1" applyBorder="1"/>
    <xf numFmtId="164" fontId="4" fillId="0" borderId="3" xfId="0" applyNumberFormat="1" applyFont="1" applyBorder="1"/>
    <xf numFmtId="0" fontId="4" fillId="0" borderId="2" xfId="0" applyFont="1" applyBorder="1" applyAlignment="1">
      <alignment wrapText="1"/>
    </xf>
    <xf numFmtId="164" fontId="4" fillId="0" borderId="2" xfId="0" applyNumberFormat="1" applyFont="1" applyBorder="1" applyAlignment="1">
      <alignment horizontal="right"/>
    </xf>
    <xf numFmtId="166" fontId="4" fillId="0" borderId="2" xfId="20" applyNumberFormat="1" applyFont="1" applyBorder="1" applyAlignment="1" applyProtection="1">
      <alignment horizontal="left" vertical="center" wrapText="1"/>
      <protection hidden="1"/>
    </xf>
    <xf numFmtId="166" fontId="4" fillId="0" borderId="2" xfId="19" applyNumberFormat="1" applyFont="1" applyBorder="1" applyAlignment="1" applyProtection="1">
      <alignment horizontal="left" vertical="top" wrapText="1"/>
      <protection hidden="1"/>
    </xf>
    <xf numFmtId="49" fontId="4" fillId="0" borderId="2" xfId="0" applyNumberFormat="1" applyFont="1" applyBorder="1" applyAlignment="1">
      <alignment horizontal="center" wrapText="1"/>
    </xf>
    <xf numFmtId="49" fontId="4" fillId="0" borderId="2" xfId="0" applyNumberFormat="1" applyFont="1" applyBorder="1" applyAlignment="1">
      <alignment wrapText="1"/>
    </xf>
    <xf numFmtId="0" fontId="4" fillId="0" borderId="0" xfId="0" applyFont="1" applyAlignment="1">
      <alignment wrapText="1"/>
    </xf>
    <xf numFmtId="0" fontId="4" fillId="0" borderId="4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left" vertical="top" wrapText="1"/>
    </xf>
    <xf numFmtId="164" fontId="4" fillId="0" borderId="3" xfId="0" applyNumberFormat="1" applyFont="1" applyBorder="1" applyAlignment="1">
      <alignment horizontal="right"/>
    </xf>
    <xf numFmtId="166" fontId="4" fillId="0" borderId="2" xfId="20" applyNumberFormat="1" applyFont="1" applyBorder="1" applyAlignment="1" applyProtection="1">
      <alignment horizontal="left" wrapText="1"/>
      <protection hidden="1"/>
    </xf>
    <xf numFmtId="3" fontId="4" fillId="0" borderId="2" xfId="0" applyNumberFormat="1" applyFont="1" applyBorder="1" applyAlignment="1">
      <alignment vertical="top" wrapText="1"/>
    </xf>
    <xf numFmtId="0" fontId="10" fillId="0" borderId="0" xfId="0" applyFont="1" applyAlignment="1">
      <alignment wrapText="1"/>
    </xf>
    <xf numFmtId="0" fontId="11" fillId="0" borderId="2" xfId="0" applyFont="1" applyBorder="1" applyAlignment="1">
      <alignment horizontal="center" vertical="center"/>
    </xf>
    <xf numFmtId="0" fontId="9" fillId="0" borderId="0" xfId="0" applyFont="1" applyAlignment="1">
      <alignment horizontal="justify"/>
    </xf>
    <xf numFmtId="0" fontId="5" fillId="0" borderId="2" xfId="0" applyFont="1" applyBorder="1"/>
    <xf numFmtId="0" fontId="4" fillId="0" borderId="5" xfId="0" applyFont="1" applyBorder="1" applyAlignment="1">
      <alignment wrapText="1"/>
    </xf>
    <xf numFmtId="0" fontId="5" fillId="0" borderId="6" xfId="0" applyFont="1" applyBorder="1"/>
    <xf numFmtId="165" fontId="4" fillId="0" borderId="0" xfId="0" applyNumberFormat="1" applyFont="1" applyAlignment="1">
      <alignment horizontal="right"/>
    </xf>
    <xf numFmtId="0" fontId="7" fillId="0" borderId="0" xfId="0" applyFont="1" applyAlignment="1">
      <alignment wrapText="1"/>
    </xf>
    <xf numFmtId="0" fontId="7" fillId="0" borderId="0" xfId="0" applyFont="1" applyAlignment="1">
      <alignment horizontal="left" wrapText="1"/>
    </xf>
    <xf numFmtId="49" fontId="7" fillId="0" borderId="0" xfId="0" applyNumberFormat="1" applyFont="1" applyAlignment="1">
      <alignment horizontal="center"/>
    </xf>
    <xf numFmtId="49" fontId="7" fillId="0" borderId="0" xfId="0" applyNumberFormat="1" applyFont="1"/>
    <xf numFmtId="0" fontId="13" fillId="0" borderId="0" xfId="0" applyFont="1"/>
  </cellXfs>
  <cellStyles count="21">
    <cellStyle name="20% — акцент1" xfId="1" xr:uid="{00000000-0005-0000-0000-000006000000}"/>
    <cellStyle name="20% — акцент2" xfId="2" xr:uid="{00000000-0005-0000-0000-000007000000}"/>
    <cellStyle name="20% — акцент3" xfId="3" xr:uid="{00000000-0005-0000-0000-000008000000}"/>
    <cellStyle name="20% — акцент4" xfId="4" xr:uid="{00000000-0005-0000-0000-000009000000}"/>
    <cellStyle name="20% — акцент5" xfId="5" xr:uid="{00000000-0005-0000-0000-00000A000000}"/>
    <cellStyle name="20% — акцент6" xfId="6" xr:uid="{00000000-0005-0000-0000-00000B000000}"/>
    <cellStyle name="40% — акцент1" xfId="7" xr:uid="{00000000-0005-0000-0000-00000C000000}"/>
    <cellStyle name="40% — акцент2" xfId="8" xr:uid="{00000000-0005-0000-0000-00000D000000}"/>
    <cellStyle name="40% — акцент3" xfId="9" xr:uid="{00000000-0005-0000-0000-00000E000000}"/>
    <cellStyle name="40% — акцент4" xfId="10" xr:uid="{00000000-0005-0000-0000-00000F000000}"/>
    <cellStyle name="40% — акцент5" xfId="11" xr:uid="{00000000-0005-0000-0000-000010000000}"/>
    <cellStyle name="40% — акцент6" xfId="12" xr:uid="{00000000-0005-0000-0000-000011000000}"/>
    <cellStyle name="60% — акцент1" xfId="13" xr:uid="{00000000-0005-0000-0000-000012000000}"/>
    <cellStyle name="60% — акцент2" xfId="14" xr:uid="{00000000-0005-0000-0000-000013000000}"/>
    <cellStyle name="60% — акцент3" xfId="15" xr:uid="{00000000-0005-0000-0000-000014000000}"/>
    <cellStyle name="60% — акцент4" xfId="16" xr:uid="{00000000-0005-0000-0000-000015000000}"/>
    <cellStyle name="60% — акцент5" xfId="17" xr:uid="{00000000-0005-0000-0000-000016000000}"/>
    <cellStyle name="60% — акцент6" xfId="18" xr:uid="{00000000-0005-0000-0000-000017000000}"/>
    <cellStyle name="Обычный" xfId="0" builtinId="0"/>
    <cellStyle name="Обычный 2" xfId="19" xr:uid="{00000000-0005-0000-0000-000018000000}"/>
    <cellStyle name="Обычный_tmp" xfId="20" xr:uid="{00000000-0005-0000-0000-000019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9211E"/>
      <rgbColor rgb="FF993366"/>
      <rgbColor rgb="FF333399"/>
      <rgbColor rgb="FF22272F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W65557"/>
  <sheetViews>
    <sheetView tabSelected="1" view="pageBreakPreview" topLeftCell="A367" zoomScale="90" zoomScaleNormal="90" zoomScaleSheetLayoutView="90" zoomScalePageLayoutView="85" workbookViewId="0">
      <selection activeCell="B801" sqref="B801:H802"/>
    </sheetView>
  </sheetViews>
  <sheetFormatPr defaultColWidth="8.42578125" defaultRowHeight="15.75" customHeight="1" x14ac:dyDescent="0.25"/>
  <cols>
    <col min="1" max="1" width="4.42578125" style="11" customWidth="1"/>
    <col min="2" max="2" width="75.42578125" style="12" customWidth="1"/>
    <col min="3" max="3" width="4.42578125" style="13" customWidth="1"/>
    <col min="4" max="4" width="4.42578125" style="14" customWidth="1"/>
    <col min="5" max="5" width="5.42578125" style="14" customWidth="1"/>
    <col min="6" max="6" width="15.42578125" style="15" customWidth="1"/>
    <col min="7" max="7" width="5.42578125" style="14" customWidth="1"/>
    <col min="8" max="8" width="16.28515625" style="16" customWidth="1"/>
    <col min="9" max="19" width="8.42578125" style="17" hidden="1"/>
    <col min="20" max="20" width="1.5703125" style="17" customWidth="1"/>
    <col min="21" max="21" width="17.42578125" style="17" customWidth="1"/>
    <col min="22" max="22" width="19.42578125" style="17" customWidth="1"/>
    <col min="23" max="63" width="8.42578125" style="17"/>
    <col min="64" max="257" width="8.42578125" style="18"/>
  </cols>
  <sheetData>
    <row r="1" spans="1:257" ht="22.9" customHeight="1" x14ac:dyDescent="0.3">
      <c r="A1" s="19"/>
      <c r="B1" s="20"/>
      <c r="C1" s="10" t="s">
        <v>618</v>
      </c>
      <c r="D1" s="10"/>
      <c r="E1" s="10"/>
      <c r="F1" s="10"/>
      <c r="G1" s="10"/>
      <c r="H1" s="10"/>
      <c r="I1" s="10"/>
      <c r="J1" s="22"/>
      <c r="K1" s="22"/>
      <c r="L1" s="22"/>
      <c r="M1" s="22"/>
      <c r="N1" s="22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  <c r="AX1" s="23"/>
      <c r="AY1" s="23"/>
      <c r="AZ1" s="23"/>
      <c r="BA1" s="23"/>
      <c r="BB1" s="23"/>
      <c r="BC1" s="23"/>
      <c r="BD1" s="23"/>
      <c r="BE1" s="23"/>
      <c r="BF1" s="23"/>
      <c r="BG1" s="23"/>
      <c r="BH1" s="23"/>
      <c r="BI1" s="23"/>
      <c r="BJ1" s="23"/>
      <c r="BK1" s="23"/>
      <c r="BL1" s="23"/>
      <c r="BM1" s="23"/>
      <c r="BN1" s="23"/>
      <c r="BO1" s="23"/>
      <c r="BP1" s="23"/>
      <c r="BQ1" s="23"/>
      <c r="BR1" s="23"/>
      <c r="BS1" s="23"/>
      <c r="BT1" s="23"/>
      <c r="BU1" s="23"/>
      <c r="BV1" s="23"/>
      <c r="BW1" s="23"/>
      <c r="BX1" s="23"/>
      <c r="BY1" s="23"/>
      <c r="BZ1" s="23"/>
      <c r="CA1" s="23"/>
      <c r="CB1" s="23"/>
      <c r="CC1" s="23"/>
      <c r="CD1" s="23"/>
      <c r="CE1" s="23"/>
      <c r="CF1" s="23"/>
      <c r="CG1" s="23"/>
      <c r="CH1" s="23"/>
      <c r="CI1" s="23"/>
      <c r="CJ1" s="23"/>
      <c r="CK1" s="23"/>
      <c r="CL1" s="23"/>
      <c r="CM1" s="23"/>
      <c r="CN1" s="23"/>
      <c r="CO1" s="23"/>
      <c r="CP1" s="23"/>
      <c r="CQ1" s="23"/>
      <c r="CR1" s="23"/>
      <c r="CS1" s="23"/>
      <c r="CT1" s="23"/>
      <c r="CU1" s="23"/>
      <c r="CV1" s="23"/>
      <c r="CW1" s="23"/>
      <c r="CX1" s="23"/>
      <c r="CY1" s="23"/>
      <c r="CZ1" s="23"/>
      <c r="DA1" s="23"/>
      <c r="DB1" s="23"/>
      <c r="DC1" s="23"/>
      <c r="DD1" s="23"/>
      <c r="DE1" s="23"/>
      <c r="DF1" s="23"/>
      <c r="DG1" s="23"/>
      <c r="DH1" s="23"/>
      <c r="DI1" s="23"/>
      <c r="DJ1" s="23"/>
      <c r="DK1" s="23"/>
      <c r="DL1" s="23"/>
      <c r="DM1" s="23"/>
      <c r="DN1" s="23"/>
      <c r="DO1" s="23"/>
      <c r="DP1" s="23"/>
      <c r="DQ1" s="23"/>
      <c r="DR1" s="23"/>
      <c r="DS1" s="23"/>
      <c r="DT1" s="23"/>
      <c r="DU1" s="23"/>
      <c r="DV1" s="23"/>
      <c r="DW1" s="23"/>
      <c r="DX1" s="23"/>
      <c r="DY1" s="23"/>
      <c r="DZ1" s="23"/>
      <c r="EA1" s="23"/>
      <c r="EB1" s="23"/>
      <c r="EC1" s="23"/>
      <c r="ED1" s="23"/>
      <c r="EE1" s="23"/>
      <c r="EF1" s="23"/>
      <c r="EG1" s="23"/>
      <c r="EH1" s="23"/>
      <c r="EI1" s="23"/>
      <c r="EJ1" s="23"/>
      <c r="EK1" s="23"/>
      <c r="EL1" s="23"/>
      <c r="EM1" s="23"/>
      <c r="EN1" s="23"/>
      <c r="EO1" s="23"/>
      <c r="EP1" s="23"/>
      <c r="EQ1" s="23"/>
      <c r="ER1" s="23"/>
      <c r="ES1" s="23"/>
      <c r="ET1" s="23"/>
      <c r="EU1" s="23"/>
      <c r="EV1" s="23"/>
      <c r="EW1" s="23"/>
      <c r="EX1" s="23"/>
      <c r="EY1" s="23"/>
      <c r="EZ1" s="23"/>
      <c r="FA1" s="23"/>
      <c r="FB1" s="23"/>
      <c r="FC1" s="23"/>
      <c r="FD1" s="23"/>
      <c r="FE1" s="23"/>
      <c r="FF1" s="23"/>
      <c r="FG1" s="23"/>
      <c r="FH1" s="23"/>
      <c r="FI1" s="23"/>
      <c r="FJ1" s="23"/>
      <c r="FK1" s="23"/>
      <c r="FL1" s="23"/>
      <c r="FM1" s="23"/>
      <c r="FN1" s="23"/>
      <c r="FO1" s="23"/>
      <c r="FP1" s="23"/>
      <c r="FQ1" s="23"/>
      <c r="FR1" s="23"/>
      <c r="FS1" s="23"/>
      <c r="FT1" s="23"/>
      <c r="FU1" s="23"/>
      <c r="FV1" s="23"/>
      <c r="FW1" s="23"/>
      <c r="FX1" s="23"/>
      <c r="FY1" s="23"/>
      <c r="FZ1" s="23"/>
      <c r="GA1" s="23"/>
      <c r="GB1" s="23"/>
      <c r="GC1" s="23"/>
      <c r="GD1" s="23"/>
      <c r="GE1" s="23"/>
      <c r="GF1" s="23"/>
      <c r="GG1" s="23"/>
      <c r="GH1" s="23"/>
      <c r="GI1" s="23"/>
      <c r="GJ1" s="23"/>
      <c r="GK1" s="23"/>
      <c r="GL1" s="23"/>
      <c r="GM1" s="23"/>
      <c r="GN1" s="23"/>
      <c r="GO1" s="23"/>
      <c r="GP1" s="23"/>
      <c r="GQ1" s="23"/>
      <c r="GR1" s="23"/>
      <c r="GS1" s="23"/>
      <c r="GT1" s="23"/>
      <c r="GU1" s="23"/>
      <c r="GV1" s="23"/>
      <c r="GW1" s="23"/>
      <c r="GX1" s="23"/>
      <c r="GY1" s="23"/>
      <c r="GZ1" s="23"/>
      <c r="HA1" s="23"/>
      <c r="HB1" s="23"/>
      <c r="HC1" s="23"/>
      <c r="HD1" s="23"/>
      <c r="HE1" s="23"/>
      <c r="HF1" s="23"/>
      <c r="HG1" s="23"/>
      <c r="HH1" s="23"/>
      <c r="HI1" s="23"/>
      <c r="HJ1" s="23"/>
      <c r="HK1" s="23"/>
      <c r="HL1" s="23"/>
      <c r="HM1" s="23"/>
      <c r="HN1" s="23"/>
      <c r="HO1" s="23"/>
      <c r="HP1" s="23"/>
      <c r="HQ1" s="23"/>
      <c r="HR1" s="23"/>
      <c r="HS1" s="23"/>
      <c r="HT1" s="23"/>
      <c r="HU1" s="23"/>
      <c r="HV1" s="23"/>
      <c r="HW1" s="23"/>
      <c r="HX1" s="23"/>
      <c r="HY1" s="23"/>
      <c r="HZ1" s="23"/>
      <c r="IA1" s="23"/>
      <c r="IB1" s="23"/>
      <c r="IC1" s="23"/>
      <c r="ID1" s="23"/>
      <c r="IE1" s="23"/>
      <c r="IF1" s="23"/>
      <c r="IG1" s="23"/>
      <c r="IH1" s="23"/>
      <c r="II1" s="23"/>
      <c r="IJ1" s="23"/>
      <c r="IK1" s="23"/>
      <c r="IL1" s="23"/>
      <c r="IM1" s="23"/>
      <c r="IN1" s="23"/>
      <c r="IO1" s="23"/>
      <c r="IP1" s="23"/>
      <c r="IQ1" s="23"/>
      <c r="IR1" s="23"/>
      <c r="IS1" s="23"/>
      <c r="IT1" s="23"/>
      <c r="IU1" s="23"/>
      <c r="IV1" s="23"/>
      <c r="IW1" s="23"/>
    </row>
    <row r="2" spans="1:257" ht="22.9" customHeight="1" x14ac:dyDescent="0.3">
      <c r="A2" s="19"/>
      <c r="B2" s="20"/>
      <c r="C2" s="10" t="s">
        <v>0</v>
      </c>
      <c r="D2" s="10"/>
      <c r="E2" s="10"/>
      <c r="F2" s="10"/>
      <c r="G2" s="10"/>
      <c r="H2" s="10"/>
      <c r="I2" s="10" t="s">
        <v>0</v>
      </c>
      <c r="J2" s="10"/>
      <c r="K2" s="10"/>
      <c r="L2" s="10"/>
      <c r="M2" s="10"/>
      <c r="N2" s="10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3"/>
      <c r="DL2" s="23"/>
      <c r="DM2" s="23"/>
      <c r="DN2" s="23"/>
      <c r="DO2" s="23"/>
      <c r="DP2" s="23"/>
      <c r="DQ2" s="23"/>
      <c r="DR2" s="23"/>
      <c r="DS2" s="23"/>
      <c r="DT2" s="23"/>
      <c r="DU2" s="23"/>
      <c r="DV2" s="23"/>
      <c r="DW2" s="23"/>
      <c r="DX2" s="23"/>
      <c r="DY2" s="23"/>
      <c r="DZ2" s="23"/>
      <c r="EA2" s="23"/>
      <c r="EB2" s="23"/>
      <c r="EC2" s="23"/>
      <c r="ED2" s="23"/>
      <c r="EE2" s="23"/>
      <c r="EF2" s="23"/>
      <c r="EG2" s="23"/>
      <c r="EH2" s="23"/>
      <c r="EI2" s="23"/>
      <c r="EJ2" s="23"/>
      <c r="EK2" s="23"/>
      <c r="EL2" s="23"/>
      <c r="EM2" s="23"/>
      <c r="EN2" s="23"/>
      <c r="EO2" s="23"/>
      <c r="EP2" s="23"/>
      <c r="EQ2" s="23"/>
      <c r="ER2" s="23"/>
      <c r="ES2" s="23"/>
      <c r="ET2" s="23"/>
      <c r="EU2" s="23"/>
      <c r="EV2" s="23"/>
      <c r="EW2" s="23"/>
      <c r="EX2" s="23"/>
      <c r="EY2" s="23"/>
      <c r="EZ2" s="23"/>
      <c r="FA2" s="23"/>
      <c r="FB2" s="23"/>
      <c r="FC2" s="23"/>
      <c r="FD2" s="23"/>
      <c r="FE2" s="23"/>
      <c r="FF2" s="23"/>
      <c r="FG2" s="23"/>
      <c r="FH2" s="23"/>
      <c r="FI2" s="23"/>
      <c r="FJ2" s="23"/>
      <c r="FK2" s="23"/>
      <c r="FL2" s="23"/>
      <c r="FM2" s="23"/>
      <c r="FN2" s="23"/>
      <c r="FO2" s="23"/>
      <c r="FP2" s="23"/>
      <c r="FQ2" s="23"/>
      <c r="FR2" s="23"/>
      <c r="FS2" s="23"/>
      <c r="FT2" s="23"/>
      <c r="FU2" s="23"/>
      <c r="FV2" s="23"/>
      <c r="FW2" s="23"/>
      <c r="FX2" s="23"/>
      <c r="FY2" s="23"/>
      <c r="FZ2" s="23"/>
      <c r="GA2" s="23"/>
      <c r="GB2" s="23"/>
      <c r="GC2" s="23"/>
      <c r="GD2" s="23"/>
      <c r="GE2" s="23"/>
      <c r="GF2" s="23"/>
      <c r="GG2" s="23"/>
      <c r="GH2" s="23"/>
      <c r="GI2" s="23"/>
      <c r="GJ2" s="23"/>
      <c r="GK2" s="23"/>
      <c r="GL2" s="23"/>
      <c r="GM2" s="23"/>
      <c r="GN2" s="23"/>
      <c r="GO2" s="23"/>
      <c r="GP2" s="23"/>
      <c r="GQ2" s="23"/>
      <c r="GR2" s="23"/>
      <c r="GS2" s="23"/>
      <c r="GT2" s="23"/>
      <c r="GU2" s="23"/>
      <c r="GV2" s="23"/>
      <c r="GW2" s="23"/>
      <c r="GX2" s="23"/>
      <c r="GY2" s="23"/>
      <c r="GZ2" s="23"/>
      <c r="HA2" s="23"/>
      <c r="HB2" s="23"/>
      <c r="HC2" s="23"/>
      <c r="HD2" s="23"/>
      <c r="HE2" s="23"/>
      <c r="HF2" s="23"/>
      <c r="HG2" s="23"/>
      <c r="HH2" s="23"/>
      <c r="HI2" s="23"/>
      <c r="HJ2" s="23"/>
      <c r="HK2" s="23"/>
      <c r="HL2" s="23"/>
      <c r="HM2" s="23"/>
      <c r="HN2" s="23"/>
      <c r="HO2" s="23"/>
      <c r="HP2" s="23"/>
      <c r="HQ2" s="23"/>
      <c r="HR2" s="23"/>
      <c r="HS2" s="23"/>
      <c r="HT2" s="23"/>
      <c r="HU2" s="23"/>
      <c r="HV2" s="23"/>
      <c r="HW2" s="23"/>
      <c r="HX2" s="23"/>
      <c r="HY2" s="23"/>
      <c r="HZ2" s="23"/>
      <c r="IA2" s="23"/>
      <c r="IB2" s="23"/>
      <c r="IC2" s="23"/>
      <c r="ID2" s="23"/>
      <c r="IE2" s="23"/>
      <c r="IF2" s="23"/>
      <c r="IG2" s="23"/>
      <c r="IH2" s="23"/>
      <c r="II2" s="23"/>
      <c r="IJ2" s="23"/>
      <c r="IK2" s="23"/>
      <c r="IL2" s="23"/>
      <c r="IM2" s="23"/>
      <c r="IN2" s="23"/>
      <c r="IO2" s="23"/>
      <c r="IP2" s="23"/>
      <c r="IQ2" s="23"/>
      <c r="IR2" s="23"/>
      <c r="IS2" s="23"/>
      <c r="IT2" s="23"/>
      <c r="IU2" s="23"/>
      <c r="IV2" s="23"/>
      <c r="IW2" s="23"/>
    </row>
    <row r="3" spans="1:257" ht="22.9" customHeight="1" x14ac:dyDescent="0.3">
      <c r="A3" s="19"/>
      <c r="B3" s="20"/>
      <c r="C3" s="10" t="s">
        <v>1</v>
      </c>
      <c r="D3" s="10"/>
      <c r="E3" s="10"/>
      <c r="F3" s="10"/>
      <c r="G3" s="10"/>
      <c r="H3" s="10"/>
      <c r="I3" s="10" t="s">
        <v>1</v>
      </c>
      <c r="J3" s="10"/>
      <c r="K3" s="10"/>
      <c r="L3" s="10"/>
      <c r="M3" s="10"/>
      <c r="N3" s="10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/>
      <c r="BA3" s="23"/>
      <c r="BB3" s="23"/>
      <c r="BC3" s="23"/>
      <c r="BD3" s="23"/>
      <c r="BE3" s="23"/>
      <c r="BF3" s="23"/>
      <c r="BG3" s="23"/>
      <c r="BH3" s="23"/>
      <c r="BI3" s="23"/>
      <c r="BJ3" s="23"/>
      <c r="BK3" s="23"/>
      <c r="BL3" s="23"/>
      <c r="BM3" s="23"/>
      <c r="BN3" s="23"/>
      <c r="BO3" s="23"/>
      <c r="BP3" s="23"/>
      <c r="BQ3" s="23"/>
      <c r="BR3" s="23"/>
      <c r="BS3" s="23"/>
      <c r="BT3" s="23"/>
      <c r="BU3" s="23"/>
      <c r="BV3" s="23"/>
      <c r="BW3" s="23"/>
      <c r="BX3" s="23"/>
      <c r="BY3" s="23"/>
      <c r="BZ3" s="23"/>
      <c r="CA3" s="23"/>
      <c r="CB3" s="23"/>
      <c r="CC3" s="23"/>
      <c r="CD3" s="23"/>
      <c r="CE3" s="23"/>
      <c r="CF3" s="23"/>
      <c r="CG3" s="23"/>
      <c r="CH3" s="23"/>
      <c r="CI3" s="23"/>
      <c r="CJ3" s="23"/>
      <c r="CK3" s="23"/>
      <c r="CL3" s="23"/>
      <c r="CM3" s="23"/>
      <c r="CN3" s="23"/>
      <c r="CO3" s="23"/>
      <c r="CP3" s="23"/>
      <c r="CQ3" s="23"/>
      <c r="CR3" s="23"/>
      <c r="CS3" s="23"/>
      <c r="CT3" s="23"/>
      <c r="CU3" s="23"/>
      <c r="CV3" s="23"/>
      <c r="CW3" s="23"/>
      <c r="CX3" s="23"/>
      <c r="CY3" s="23"/>
      <c r="CZ3" s="23"/>
      <c r="DA3" s="23"/>
      <c r="DB3" s="23"/>
      <c r="DC3" s="23"/>
      <c r="DD3" s="23"/>
      <c r="DE3" s="23"/>
      <c r="DF3" s="23"/>
      <c r="DG3" s="23"/>
      <c r="DH3" s="23"/>
      <c r="DI3" s="23"/>
      <c r="DJ3" s="23"/>
      <c r="DK3" s="23"/>
      <c r="DL3" s="23"/>
      <c r="DM3" s="23"/>
      <c r="DN3" s="23"/>
      <c r="DO3" s="23"/>
      <c r="DP3" s="23"/>
      <c r="DQ3" s="23"/>
      <c r="DR3" s="23"/>
      <c r="DS3" s="23"/>
      <c r="DT3" s="23"/>
      <c r="DU3" s="23"/>
      <c r="DV3" s="23"/>
      <c r="DW3" s="23"/>
      <c r="DX3" s="23"/>
      <c r="DY3" s="23"/>
      <c r="DZ3" s="23"/>
      <c r="EA3" s="23"/>
      <c r="EB3" s="23"/>
      <c r="EC3" s="23"/>
      <c r="ED3" s="23"/>
      <c r="EE3" s="23"/>
      <c r="EF3" s="23"/>
      <c r="EG3" s="23"/>
      <c r="EH3" s="23"/>
      <c r="EI3" s="23"/>
      <c r="EJ3" s="23"/>
      <c r="EK3" s="23"/>
      <c r="EL3" s="23"/>
      <c r="EM3" s="23"/>
      <c r="EN3" s="23"/>
      <c r="EO3" s="23"/>
      <c r="EP3" s="23"/>
      <c r="EQ3" s="23"/>
      <c r="ER3" s="23"/>
      <c r="ES3" s="23"/>
      <c r="ET3" s="23"/>
      <c r="EU3" s="23"/>
      <c r="EV3" s="23"/>
      <c r="EW3" s="23"/>
      <c r="EX3" s="23"/>
      <c r="EY3" s="23"/>
      <c r="EZ3" s="23"/>
      <c r="FA3" s="23"/>
      <c r="FB3" s="23"/>
      <c r="FC3" s="23"/>
      <c r="FD3" s="23"/>
      <c r="FE3" s="23"/>
      <c r="FF3" s="23"/>
      <c r="FG3" s="23"/>
      <c r="FH3" s="23"/>
      <c r="FI3" s="23"/>
      <c r="FJ3" s="23"/>
      <c r="FK3" s="23"/>
      <c r="FL3" s="23"/>
      <c r="FM3" s="23"/>
      <c r="FN3" s="23"/>
      <c r="FO3" s="23"/>
      <c r="FP3" s="23"/>
      <c r="FQ3" s="23"/>
      <c r="FR3" s="23"/>
      <c r="FS3" s="23"/>
      <c r="FT3" s="23"/>
      <c r="FU3" s="23"/>
      <c r="FV3" s="23"/>
      <c r="FW3" s="23"/>
      <c r="FX3" s="23"/>
      <c r="FY3" s="23"/>
      <c r="FZ3" s="23"/>
      <c r="GA3" s="23"/>
      <c r="GB3" s="23"/>
      <c r="GC3" s="23"/>
      <c r="GD3" s="23"/>
      <c r="GE3" s="23"/>
      <c r="GF3" s="23"/>
      <c r="GG3" s="23"/>
      <c r="GH3" s="23"/>
      <c r="GI3" s="23"/>
      <c r="GJ3" s="23"/>
      <c r="GK3" s="23"/>
      <c r="GL3" s="23"/>
      <c r="GM3" s="23"/>
      <c r="GN3" s="23"/>
      <c r="GO3" s="23"/>
      <c r="GP3" s="23"/>
      <c r="GQ3" s="23"/>
      <c r="GR3" s="23"/>
      <c r="GS3" s="23"/>
      <c r="GT3" s="23"/>
      <c r="GU3" s="23"/>
      <c r="GV3" s="23"/>
      <c r="GW3" s="23"/>
      <c r="GX3" s="23"/>
      <c r="GY3" s="23"/>
      <c r="GZ3" s="23"/>
      <c r="HA3" s="23"/>
      <c r="HB3" s="23"/>
      <c r="HC3" s="23"/>
      <c r="HD3" s="23"/>
      <c r="HE3" s="23"/>
      <c r="HF3" s="23"/>
      <c r="HG3" s="23"/>
      <c r="HH3" s="23"/>
      <c r="HI3" s="23"/>
      <c r="HJ3" s="23"/>
      <c r="HK3" s="23"/>
      <c r="HL3" s="23"/>
      <c r="HM3" s="23"/>
      <c r="HN3" s="23"/>
      <c r="HO3" s="23"/>
      <c r="HP3" s="23"/>
      <c r="HQ3" s="23"/>
      <c r="HR3" s="23"/>
      <c r="HS3" s="23"/>
      <c r="HT3" s="23"/>
      <c r="HU3" s="23"/>
      <c r="HV3" s="23"/>
      <c r="HW3" s="23"/>
      <c r="HX3" s="23"/>
      <c r="HY3" s="23"/>
      <c r="HZ3" s="23"/>
      <c r="IA3" s="23"/>
      <c r="IB3" s="23"/>
      <c r="IC3" s="23"/>
      <c r="ID3" s="23"/>
      <c r="IE3" s="23"/>
      <c r="IF3" s="23"/>
      <c r="IG3" s="23"/>
      <c r="IH3" s="23"/>
      <c r="II3" s="23"/>
      <c r="IJ3" s="23"/>
      <c r="IK3" s="23"/>
      <c r="IL3" s="23"/>
      <c r="IM3" s="23"/>
      <c r="IN3" s="23"/>
      <c r="IO3" s="23"/>
      <c r="IP3" s="23"/>
      <c r="IQ3" s="23"/>
      <c r="IR3" s="23"/>
      <c r="IS3" s="23"/>
      <c r="IT3" s="23"/>
      <c r="IU3" s="23"/>
      <c r="IV3" s="23"/>
      <c r="IW3" s="23"/>
    </row>
    <row r="4" spans="1:257" ht="22.9" customHeight="1" x14ac:dyDescent="0.3">
      <c r="A4" s="19"/>
      <c r="B4" s="20"/>
      <c r="C4" s="10" t="s">
        <v>2</v>
      </c>
      <c r="D4" s="10"/>
      <c r="E4" s="10"/>
      <c r="F4" s="10"/>
      <c r="G4" s="10"/>
      <c r="H4" s="10"/>
      <c r="I4" s="10" t="s">
        <v>2</v>
      </c>
      <c r="J4" s="10"/>
      <c r="K4" s="10"/>
      <c r="L4" s="10"/>
      <c r="M4" s="10"/>
      <c r="N4" s="10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3"/>
      <c r="AS4" s="23"/>
      <c r="AT4" s="23"/>
      <c r="AU4" s="23"/>
      <c r="AV4" s="23"/>
      <c r="AW4" s="23"/>
      <c r="AX4" s="23"/>
      <c r="AY4" s="23"/>
      <c r="AZ4" s="23"/>
      <c r="BA4" s="23"/>
      <c r="BB4" s="23"/>
      <c r="BC4" s="23"/>
      <c r="BD4" s="23"/>
      <c r="BE4" s="23"/>
      <c r="BF4" s="23"/>
      <c r="BG4" s="23"/>
      <c r="BH4" s="23"/>
      <c r="BI4" s="23"/>
      <c r="BJ4" s="23"/>
      <c r="BK4" s="23"/>
      <c r="BL4" s="23"/>
      <c r="BM4" s="23"/>
      <c r="BN4" s="23"/>
      <c r="BO4" s="23"/>
      <c r="BP4" s="23"/>
      <c r="BQ4" s="23"/>
      <c r="BR4" s="23"/>
      <c r="BS4" s="23"/>
      <c r="BT4" s="23"/>
      <c r="BU4" s="23"/>
      <c r="BV4" s="23"/>
      <c r="BW4" s="23"/>
      <c r="BX4" s="23"/>
      <c r="BY4" s="23"/>
      <c r="BZ4" s="23"/>
      <c r="CA4" s="23"/>
      <c r="CB4" s="23"/>
      <c r="CC4" s="23"/>
      <c r="CD4" s="23"/>
      <c r="CE4" s="23"/>
      <c r="CF4" s="23"/>
      <c r="CG4" s="23"/>
      <c r="CH4" s="23"/>
      <c r="CI4" s="23"/>
      <c r="CJ4" s="23"/>
      <c r="CK4" s="23"/>
      <c r="CL4" s="23"/>
      <c r="CM4" s="23"/>
      <c r="CN4" s="23"/>
      <c r="CO4" s="23"/>
      <c r="CP4" s="23"/>
      <c r="CQ4" s="23"/>
      <c r="CR4" s="23"/>
      <c r="CS4" s="23"/>
      <c r="CT4" s="23"/>
      <c r="CU4" s="23"/>
      <c r="CV4" s="23"/>
      <c r="CW4" s="23"/>
      <c r="CX4" s="23"/>
      <c r="CY4" s="23"/>
      <c r="CZ4" s="23"/>
      <c r="DA4" s="23"/>
      <c r="DB4" s="23"/>
      <c r="DC4" s="23"/>
      <c r="DD4" s="23"/>
      <c r="DE4" s="23"/>
      <c r="DF4" s="23"/>
      <c r="DG4" s="23"/>
      <c r="DH4" s="23"/>
      <c r="DI4" s="23"/>
      <c r="DJ4" s="23"/>
      <c r="DK4" s="23"/>
      <c r="DL4" s="23"/>
      <c r="DM4" s="23"/>
      <c r="DN4" s="23"/>
      <c r="DO4" s="23"/>
      <c r="DP4" s="23"/>
      <c r="DQ4" s="23"/>
      <c r="DR4" s="23"/>
      <c r="DS4" s="23"/>
      <c r="DT4" s="23"/>
      <c r="DU4" s="23"/>
      <c r="DV4" s="23"/>
      <c r="DW4" s="23"/>
      <c r="DX4" s="23"/>
      <c r="DY4" s="23"/>
      <c r="DZ4" s="23"/>
      <c r="EA4" s="23"/>
      <c r="EB4" s="23"/>
      <c r="EC4" s="23"/>
      <c r="ED4" s="23"/>
      <c r="EE4" s="23"/>
      <c r="EF4" s="23"/>
      <c r="EG4" s="23"/>
      <c r="EH4" s="23"/>
      <c r="EI4" s="23"/>
      <c r="EJ4" s="23"/>
      <c r="EK4" s="23"/>
      <c r="EL4" s="23"/>
      <c r="EM4" s="23"/>
      <c r="EN4" s="23"/>
      <c r="EO4" s="23"/>
      <c r="EP4" s="23"/>
      <c r="EQ4" s="23"/>
      <c r="ER4" s="23"/>
      <c r="ES4" s="23"/>
      <c r="ET4" s="23"/>
      <c r="EU4" s="23"/>
      <c r="EV4" s="23"/>
      <c r="EW4" s="23"/>
      <c r="EX4" s="23"/>
      <c r="EY4" s="23"/>
      <c r="EZ4" s="23"/>
      <c r="FA4" s="23"/>
      <c r="FB4" s="23"/>
      <c r="FC4" s="23"/>
      <c r="FD4" s="23"/>
      <c r="FE4" s="23"/>
      <c r="FF4" s="23"/>
      <c r="FG4" s="23"/>
      <c r="FH4" s="23"/>
      <c r="FI4" s="23"/>
      <c r="FJ4" s="23"/>
      <c r="FK4" s="23"/>
      <c r="FL4" s="23"/>
      <c r="FM4" s="23"/>
      <c r="FN4" s="23"/>
      <c r="FO4" s="23"/>
      <c r="FP4" s="23"/>
      <c r="FQ4" s="23"/>
      <c r="FR4" s="23"/>
      <c r="FS4" s="23"/>
      <c r="FT4" s="23"/>
      <c r="FU4" s="23"/>
      <c r="FV4" s="23"/>
      <c r="FW4" s="23"/>
      <c r="FX4" s="23"/>
      <c r="FY4" s="23"/>
      <c r="FZ4" s="23"/>
      <c r="GA4" s="23"/>
      <c r="GB4" s="23"/>
      <c r="GC4" s="23"/>
      <c r="GD4" s="23"/>
      <c r="GE4" s="23"/>
      <c r="GF4" s="23"/>
      <c r="GG4" s="23"/>
      <c r="GH4" s="23"/>
      <c r="GI4" s="23"/>
      <c r="GJ4" s="23"/>
      <c r="GK4" s="23"/>
      <c r="GL4" s="23"/>
      <c r="GM4" s="23"/>
      <c r="GN4" s="23"/>
      <c r="GO4" s="23"/>
      <c r="GP4" s="23"/>
      <c r="GQ4" s="23"/>
      <c r="GR4" s="23"/>
      <c r="GS4" s="23"/>
      <c r="GT4" s="23"/>
      <c r="GU4" s="23"/>
      <c r="GV4" s="23"/>
      <c r="GW4" s="23"/>
      <c r="GX4" s="23"/>
      <c r="GY4" s="23"/>
      <c r="GZ4" s="23"/>
      <c r="HA4" s="23"/>
      <c r="HB4" s="23"/>
      <c r="HC4" s="23"/>
      <c r="HD4" s="23"/>
      <c r="HE4" s="23"/>
      <c r="HF4" s="23"/>
      <c r="HG4" s="23"/>
      <c r="HH4" s="23"/>
      <c r="HI4" s="23"/>
      <c r="HJ4" s="23"/>
      <c r="HK4" s="23"/>
      <c r="HL4" s="23"/>
      <c r="HM4" s="23"/>
      <c r="HN4" s="23"/>
      <c r="HO4" s="23"/>
      <c r="HP4" s="23"/>
      <c r="HQ4" s="23"/>
      <c r="HR4" s="23"/>
      <c r="HS4" s="23"/>
      <c r="HT4" s="23"/>
      <c r="HU4" s="23"/>
      <c r="HV4" s="23"/>
      <c r="HW4" s="23"/>
      <c r="HX4" s="23"/>
      <c r="HY4" s="23"/>
      <c r="HZ4" s="23"/>
      <c r="IA4" s="23"/>
      <c r="IB4" s="23"/>
      <c r="IC4" s="23"/>
      <c r="ID4" s="23"/>
      <c r="IE4" s="23"/>
      <c r="IF4" s="23"/>
      <c r="IG4" s="23"/>
      <c r="IH4" s="23"/>
      <c r="II4" s="23"/>
      <c r="IJ4" s="23"/>
      <c r="IK4" s="23"/>
      <c r="IL4" s="23"/>
      <c r="IM4" s="23"/>
      <c r="IN4" s="23"/>
      <c r="IO4" s="23"/>
      <c r="IP4" s="23"/>
      <c r="IQ4" s="23"/>
      <c r="IR4" s="23"/>
      <c r="IS4" s="23"/>
      <c r="IT4" s="23"/>
      <c r="IU4" s="23"/>
      <c r="IV4" s="23"/>
      <c r="IW4" s="23"/>
    </row>
    <row r="5" spans="1:257" ht="35.1" customHeight="1" x14ac:dyDescent="0.3">
      <c r="A5" s="19"/>
      <c r="B5" s="20"/>
      <c r="C5" s="9" t="s">
        <v>619</v>
      </c>
      <c r="D5" s="9"/>
      <c r="E5" s="9"/>
      <c r="F5" s="9"/>
      <c r="G5" s="9"/>
      <c r="H5" s="9"/>
      <c r="I5" s="10" t="s">
        <v>3</v>
      </c>
      <c r="J5" s="10"/>
      <c r="K5" s="10"/>
      <c r="L5" s="10"/>
      <c r="M5" s="10"/>
      <c r="N5" s="10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3"/>
      <c r="AS5" s="23"/>
      <c r="AT5" s="23"/>
      <c r="AU5" s="23"/>
      <c r="AV5" s="23"/>
      <c r="AW5" s="23"/>
      <c r="AX5" s="23"/>
      <c r="AY5" s="23"/>
      <c r="AZ5" s="23"/>
      <c r="BA5" s="23"/>
      <c r="BB5" s="23"/>
      <c r="BC5" s="23"/>
      <c r="BD5" s="23"/>
      <c r="BE5" s="23"/>
      <c r="BF5" s="23"/>
      <c r="BG5" s="23"/>
      <c r="BH5" s="23"/>
      <c r="BI5" s="23"/>
      <c r="BJ5" s="23"/>
      <c r="BK5" s="23"/>
      <c r="BL5" s="23"/>
      <c r="BM5" s="23"/>
      <c r="BN5" s="23"/>
      <c r="BO5" s="23"/>
      <c r="BP5" s="23"/>
      <c r="BQ5" s="23"/>
      <c r="BR5" s="23"/>
      <c r="BS5" s="23"/>
      <c r="BT5" s="23"/>
      <c r="BU5" s="23"/>
      <c r="BV5" s="23"/>
      <c r="BW5" s="23"/>
      <c r="BX5" s="23"/>
      <c r="BY5" s="23"/>
      <c r="BZ5" s="23"/>
      <c r="CA5" s="23"/>
      <c r="CB5" s="23"/>
      <c r="CC5" s="23"/>
      <c r="CD5" s="23"/>
      <c r="CE5" s="23"/>
      <c r="CF5" s="23"/>
      <c r="CG5" s="23"/>
      <c r="CH5" s="23"/>
      <c r="CI5" s="23"/>
      <c r="CJ5" s="23"/>
      <c r="CK5" s="23"/>
      <c r="CL5" s="23"/>
      <c r="CM5" s="23"/>
      <c r="CN5" s="23"/>
      <c r="CO5" s="23"/>
      <c r="CP5" s="23"/>
      <c r="CQ5" s="23"/>
      <c r="CR5" s="23"/>
      <c r="CS5" s="23"/>
      <c r="CT5" s="23"/>
      <c r="CU5" s="23"/>
      <c r="CV5" s="23"/>
      <c r="CW5" s="23"/>
      <c r="CX5" s="23"/>
      <c r="CY5" s="23"/>
      <c r="CZ5" s="23"/>
      <c r="DA5" s="23"/>
      <c r="DB5" s="23"/>
      <c r="DC5" s="23"/>
      <c r="DD5" s="23"/>
      <c r="DE5" s="23"/>
      <c r="DF5" s="23"/>
      <c r="DG5" s="23"/>
      <c r="DH5" s="23"/>
      <c r="DI5" s="23"/>
      <c r="DJ5" s="23"/>
      <c r="DK5" s="23"/>
      <c r="DL5" s="23"/>
      <c r="DM5" s="23"/>
      <c r="DN5" s="23"/>
      <c r="DO5" s="23"/>
      <c r="DP5" s="23"/>
      <c r="DQ5" s="23"/>
      <c r="DR5" s="23"/>
      <c r="DS5" s="23"/>
      <c r="DT5" s="23"/>
      <c r="DU5" s="23"/>
      <c r="DV5" s="23"/>
      <c r="DW5" s="23"/>
      <c r="DX5" s="23"/>
      <c r="DY5" s="23"/>
      <c r="DZ5" s="23"/>
      <c r="EA5" s="23"/>
      <c r="EB5" s="23"/>
      <c r="EC5" s="23"/>
      <c r="ED5" s="23"/>
      <c r="EE5" s="23"/>
      <c r="EF5" s="23"/>
      <c r="EG5" s="23"/>
      <c r="EH5" s="23"/>
      <c r="EI5" s="23"/>
      <c r="EJ5" s="23"/>
      <c r="EK5" s="23"/>
      <c r="EL5" s="23"/>
      <c r="EM5" s="23"/>
      <c r="EN5" s="23"/>
      <c r="EO5" s="23"/>
      <c r="EP5" s="23"/>
      <c r="EQ5" s="23"/>
      <c r="ER5" s="23"/>
      <c r="ES5" s="23"/>
      <c r="ET5" s="23"/>
      <c r="EU5" s="23"/>
      <c r="EV5" s="23"/>
      <c r="EW5" s="23"/>
      <c r="EX5" s="23"/>
      <c r="EY5" s="23"/>
      <c r="EZ5" s="23"/>
      <c r="FA5" s="23"/>
      <c r="FB5" s="23"/>
      <c r="FC5" s="23"/>
      <c r="FD5" s="23"/>
      <c r="FE5" s="23"/>
      <c r="FF5" s="23"/>
      <c r="FG5" s="23"/>
      <c r="FH5" s="23"/>
      <c r="FI5" s="23"/>
      <c r="FJ5" s="23"/>
      <c r="FK5" s="23"/>
      <c r="FL5" s="23"/>
      <c r="FM5" s="23"/>
      <c r="FN5" s="23"/>
      <c r="FO5" s="23"/>
      <c r="FP5" s="23"/>
      <c r="FQ5" s="23"/>
      <c r="FR5" s="23"/>
      <c r="FS5" s="23"/>
      <c r="FT5" s="23"/>
      <c r="FU5" s="23"/>
      <c r="FV5" s="23"/>
      <c r="FW5" s="23"/>
      <c r="FX5" s="23"/>
      <c r="FY5" s="23"/>
      <c r="FZ5" s="23"/>
      <c r="GA5" s="23"/>
      <c r="GB5" s="23"/>
      <c r="GC5" s="23"/>
      <c r="GD5" s="23"/>
      <c r="GE5" s="23"/>
      <c r="GF5" s="23"/>
      <c r="GG5" s="23"/>
      <c r="GH5" s="23"/>
      <c r="GI5" s="23"/>
      <c r="GJ5" s="23"/>
      <c r="GK5" s="23"/>
      <c r="GL5" s="23"/>
      <c r="GM5" s="23"/>
      <c r="GN5" s="23"/>
      <c r="GO5" s="23"/>
      <c r="GP5" s="23"/>
      <c r="GQ5" s="23"/>
      <c r="GR5" s="23"/>
      <c r="GS5" s="23"/>
      <c r="GT5" s="23"/>
      <c r="GU5" s="23"/>
      <c r="GV5" s="23"/>
      <c r="GW5" s="23"/>
      <c r="GX5" s="23"/>
      <c r="GY5" s="23"/>
      <c r="GZ5" s="23"/>
      <c r="HA5" s="23"/>
      <c r="HB5" s="23"/>
      <c r="HC5" s="23"/>
      <c r="HD5" s="23"/>
      <c r="HE5" s="23"/>
      <c r="HF5" s="23"/>
      <c r="HG5" s="23"/>
      <c r="HH5" s="23"/>
      <c r="HI5" s="23"/>
      <c r="HJ5" s="23"/>
      <c r="HK5" s="23"/>
      <c r="HL5" s="23"/>
      <c r="HM5" s="23"/>
      <c r="HN5" s="23"/>
      <c r="HO5" s="23"/>
      <c r="HP5" s="23"/>
      <c r="HQ5" s="23"/>
      <c r="HR5" s="23"/>
      <c r="HS5" s="23"/>
      <c r="HT5" s="23"/>
      <c r="HU5" s="23"/>
      <c r="HV5" s="23"/>
      <c r="HW5" s="23"/>
      <c r="HX5" s="23"/>
      <c r="HY5" s="23"/>
      <c r="HZ5" s="23"/>
      <c r="IA5" s="23"/>
      <c r="IB5" s="23"/>
      <c r="IC5" s="23"/>
      <c r="ID5" s="23"/>
      <c r="IE5" s="23"/>
      <c r="IF5" s="23"/>
      <c r="IG5" s="23"/>
      <c r="IH5" s="23"/>
      <c r="II5" s="23"/>
      <c r="IJ5" s="23"/>
      <c r="IK5" s="23"/>
      <c r="IL5" s="23"/>
      <c r="IM5" s="23"/>
      <c r="IN5" s="23"/>
      <c r="IO5" s="23"/>
      <c r="IP5" s="23"/>
      <c r="IQ5" s="23"/>
      <c r="IR5" s="23"/>
      <c r="IS5" s="23"/>
      <c r="IT5" s="23"/>
      <c r="IU5" s="23"/>
      <c r="IV5" s="23"/>
      <c r="IW5" s="23"/>
    </row>
    <row r="6" spans="1:257" ht="12.75" customHeight="1" x14ac:dyDescent="0.3">
      <c r="A6" s="19"/>
      <c r="B6" s="20"/>
      <c r="C6" s="21"/>
      <c r="D6" s="21"/>
      <c r="E6" s="21"/>
      <c r="F6" s="21"/>
      <c r="G6" s="21"/>
      <c r="H6" s="21"/>
      <c r="I6" s="21"/>
      <c r="J6" s="22"/>
      <c r="K6" s="22"/>
      <c r="L6" s="22"/>
      <c r="M6" s="22"/>
      <c r="N6" s="22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3"/>
      <c r="AS6" s="23"/>
      <c r="AT6" s="23"/>
      <c r="AU6" s="23"/>
      <c r="AV6" s="23"/>
      <c r="AW6" s="23"/>
      <c r="AX6" s="23"/>
      <c r="AY6" s="23"/>
      <c r="AZ6" s="23"/>
      <c r="BA6" s="23"/>
      <c r="BB6" s="23"/>
      <c r="BC6" s="23"/>
      <c r="BD6" s="23"/>
      <c r="BE6" s="23"/>
      <c r="BF6" s="23"/>
      <c r="BG6" s="23"/>
      <c r="BH6" s="23"/>
      <c r="BI6" s="23"/>
      <c r="BJ6" s="23"/>
      <c r="BK6" s="23"/>
      <c r="BL6" s="23"/>
      <c r="BM6" s="23"/>
      <c r="BN6" s="23"/>
      <c r="BO6" s="23"/>
      <c r="BP6" s="23"/>
      <c r="BQ6" s="23"/>
      <c r="BR6" s="23"/>
      <c r="BS6" s="23"/>
      <c r="BT6" s="23"/>
      <c r="BU6" s="23"/>
      <c r="BV6" s="23"/>
      <c r="BW6" s="23"/>
      <c r="BX6" s="23"/>
      <c r="BY6" s="23"/>
      <c r="BZ6" s="23"/>
      <c r="CA6" s="23"/>
      <c r="CB6" s="23"/>
      <c r="CC6" s="23"/>
      <c r="CD6" s="23"/>
      <c r="CE6" s="23"/>
      <c r="CF6" s="23"/>
      <c r="CG6" s="23"/>
      <c r="CH6" s="23"/>
      <c r="CI6" s="23"/>
      <c r="CJ6" s="23"/>
      <c r="CK6" s="23"/>
      <c r="CL6" s="23"/>
      <c r="CM6" s="23"/>
      <c r="CN6" s="23"/>
      <c r="CO6" s="23"/>
      <c r="CP6" s="23"/>
      <c r="CQ6" s="23"/>
      <c r="CR6" s="23"/>
      <c r="CS6" s="23"/>
      <c r="CT6" s="23"/>
      <c r="CU6" s="23"/>
      <c r="CV6" s="23"/>
      <c r="CW6" s="23"/>
      <c r="CX6" s="23"/>
      <c r="CY6" s="23"/>
      <c r="CZ6" s="23"/>
      <c r="DA6" s="23"/>
      <c r="DB6" s="23"/>
      <c r="DC6" s="23"/>
      <c r="DD6" s="23"/>
      <c r="DE6" s="23"/>
      <c r="DF6" s="23"/>
      <c r="DG6" s="23"/>
      <c r="DH6" s="23"/>
      <c r="DI6" s="23"/>
      <c r="DJ6" s="23"/>
      <c r="DK6" s="23"/>
      <c r="DL6" s="23"/>
      <c r="DM6" s="23"/>
      <c r="DN6" s="23"/>
      <c r="DO6" s="23"/>
      <c r="DP6" s="23"/>
      <c r="DQ6" s="23"/>
      <c r="DR6" s="23"/>
      <c r="DS6" s="23"/>
      <c r="DT6" s="23"/>
      <c r="DU6" s="23"/>
      <c r="DV6" s="23"/>
      <c r="DW6" s="23"/>
      <c r="DX6" s="23"/>
      <c r="DY6" s="23"/>
      <c r="DZ6" s="23"/>
      <c r="EA6" s="23"/>
      <c r="EB6" s="23"/>
      <c r="EC6" s="23"/>
      <c r="ED6" s="23"/>
      <c r="EE6" s="23"/>
      <c r="EF6" s="23"/>
      <c r="EG6" s="23"/>
      <c r="EH6" s="23"/>
      <c r="EI6" s="23"/>
      <c r="EJ6" s="23"/>
      <c r="EK6" s="23"/>
      <c r="EL6" s="23"/>
      <c r="EM6" s="23"/>
      <c r="EN6" s="23"/>
      <c r="EO6" s="23"/>
      <c r="EP6" s="23"/>
      <c r="EQ6" s="23"/>
      <c r="ER6" s="23"/>
      <c r="ES6" s="23"/>
      <c r="ET6" s="23"/>
      <c r="EU6" s="23"/>
      <c r="EV6" s="23"/>
      <c r="EW6" s="23"/>
      <c r="EX6" s="23"/>
      <c r="EY6" s="23"/>
      <c r="EZ6" s="23"/>
      <c r="FA6" s="23"/>
      <c r="FB6" s="23"/>
      <c r="FC6" s="23"/>
      <c r="FD6" s="23"/>
      <c r="FE6" s="23"/>
      <c r="FF6" s="23"/>
      <c r="FG6" s="23"/>
      <c r="FH6" s="23"/>
      <c r="FI6" s="23"/>
      <c r="FJ6" s="23"/>
      <c r="FK6" s="23"/>
      <c r="FL6" s="23"/>
      <c r="FM6" s="23"/>
      <c r="FN6" s="23"/>
      <c r="FO6" s="23"/>
      <c r="FP6" s="23"/>
      <c r="FQ6" s="23"/>
      <c r="FR6" s="23"/>
      <c r="FS6" s="23"/>
      <c r="FT6" s="23"/>
      <c r="FU6" s="23"/>
      <c r="FV6" s="23"/>
      <c r="FW6" s="23"/>
      <c r="FX6" s="23"/>
      <c r="FY6" s="23"/>
      <c r="FZ6" s="23"/>
      <c r="GA6" s="23"/>
      <c r="GB6" s="23"/>
      <c r="GC6" s="23"/>
      <c r="GD6" s="23"/>
      <c r="GE6" s="23"/>
      <c r="GF6" s="23"/>
      <c r="GG6" s="23"/>
      <c r="GH6" s="23"/>
      <c r="GI6" s="23"/>
      <c r="GJ6" s="23"/>
      <c r="GK6" s="23"/>
      <c r="GL6" s="23"/>
      <c r="GM6" s="23"/>
      <c r="GN6" s="23"/>
      <c r="GO6" s="23"/>
      <c r="GP6" s="23"/>
      <c r="GQ6" s="23"/>
      <c r="GR6" s="23"/>
      <c r="GS6" s="23"/>
      <c r="GT6" s="23"/>
      <c r="GU6" s="23"/>
      <c r="GV6" s="23"/>
      <c r="GW6" s="23"/>
      <c r="GX6" s="23"/>
      <c r="GY6" s="23"/>
      <c r="GZ6" s="23"/>
      <c r="HA6" s="23"/>
      <c r="HB6" s="23"/>
      <c r="HC6" s="23"/>
      <c r="HD6" s="23"/>
      <c r="HE6" s="23"/>
      <c r="HF6" s="23"/>
      <c r="HG6" s="23"/>
      <c r="HH6" s="23"/>
      <c r="HI6" s="23"/>
      <c r="HJ6" s="23"/>
      <c r="HK6" s="23"/>
      <c r="HL6" s="23"/>
      <c r="HM6" s="23"/>
      <c r="HN6" s="23"/>
      <c r="HO6" s="23"/>
      <c r="HP6" s="23"/>
      <c r="HQ6" s="23"/>
      <c r="HR6" s="23"/>
      <c r="HS6" s="23"/>
      <c r="HT6" s="23"/>
      <c r="HU6" s="23"/>
      <c r="HV6" s="23"/>
      <c r="HW6" s="23"/>
      <c r="HX6" s="23"/>
      <c r="HY6" s="23"/>
      <c r="HZ6" s="23"/>
      <c r="IA6" s="23"/>
      <c r="IB6" s="23"/>
      <c r="IC6" s="23"/>
      <c r="ID6" s="23"/>
      <c r="IE6" s="23"/>
      <c r="IF6" s="23"/>
      <c r="IG6" s="23"/>
      <c r="IH6" s="23"/>
      <c r="II6" s="23"/>
      <c r="IJ6" s="23"/>
      <c r="IK6" s="23"/>
      <c r="IL6" s="23"/>
      <c r="IM6" s="23"/>
      <c r="IN6" s="23"/>
      <c r="IO6" s="23"/>
      <c r="IP6" s="23"/>
      <c r="IQ6" s="23"/>
      <c r="IR6" s="23"/>
      <c r="IS6" s="23"/>
      <c r="IT6" s="23"/>
      <c r="IU6" s="23"/>
      <c r="IV6" s="23"/>
      <c r="IW6" s="23"/>
    </row>
    <row r="7" spans="1:257" ht="30.75" customHeight="1" x14ac:dyDescent="0.3">
      <c r="A7" s="19"/>
      <c r="B7" s="20"/>
      <c r="C7" s="10" t="s">
        <v>4</v>
      </c>
      <c r="D7" s="10"/>
      <c r="E7" s="10"/>
      <c r="F7" s="10"/>
      <c r="G7" s="10"/>
      <c r="H7" s="10"/>
      <c r="I7" s="10"/>
      <c r="J7" s="22"/>
      <c r="K7" s="22"/>
      <c r="L7" s="22"/>
      <c r="M7" s="22"/>
      <c r="N7" s="22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/>
      <c r="AN7" s="23"/>
      <c r="AO7" s="23"/>
      <c r="AP7" s="23"/>
      <c r="AQ7" s="23"/>
      <c r="AR7" s="23"/>
      <c r="AS7" s="23"/>
      <c r="AT7" s="23"/>
      <c r="AU7" s="23"/>
      <c r="AV7" s="23"/>
      <c r="AW7" s="23"/>
      <c r="AX7" s="23"/>
      <c r="AY7" s="23"/>
      <c r="AZ7" s="23"/>
      <c r="BA7" s="23"/>
      <c r="BB7" s="23"/>
      <c r="BC7" s="23"/>
      <c r="BD7" s="23"/>
      <c r="BE7" s="23"/>
      <c r="BF7" s="23"/>
      <c r="BG7" s="23"/>
      <c r="BH7" s="23"/>
      <c r="BI7" s="23"/>
      <c r="BJ7" s="23"/>
      <c r="BK7" s="23"/>
      <c r="BL7" s="23"/>
      <c r="BM7" s="23"/>
      <c r="BN7" s="23"/>
      <c r="BO7" s="23"/>
      <c r="BP7" s="23"/>
      <c r="BQ7" s="23"/>
      <c r="BR7" s="23"/>
      <c r="BS7" s="23"/>
      <c r="BT7" s="23"/>
      <c r="BU7" s="23"/>
      <c r="BV7" s="23"/>
      <c r="BW7" s="23"/>
      <c r="BX7" s="23"/>
      <c r="BY7" s="23"/>
      <c r="BZ7" s="23"/>
      <c r="CA7" s="23"/>
      <c r="CB7" s="23"/>
      <c r="CC7" s="23"/>
      <c r="CD7" s="23"/>
      <c r="CE7" s="23"/>
      <c r="CF7" s="23"/>
      <c r="CG7" s="23"/>
      <c r="CH7" s="23"/>
      <c r="CI7" s="23"/>
      <c r="CJ7" s="23"/>
      <c r="CK7" s="23"/>
      <c r="CL7" s="23"/>
      <c r="CM7" s="23"/>
      <c r="CN7" s="23"/>
      <c r="CO7" s="23"/>
      <c r="CP7" s="23"/>
      <c r="CQ7" s="23"/>
      <c r="CR7" s="23"/>
      <c r="CS7" s="23"/>
      <c r="CT7" s="23"/>
      <c r="CU7" s="23"/>
      <c r="CV7" s="23"/>
      <c r="CW7" s="23"/>
      <c r="CX7" s="23"/>
      <c r="CY7" s="23"/>
      <c r="CZ7" s="23"/>
      <c r="DA7" s="23"/>
      <c r="DB7" s="23"/>
      <c r="DC7" s="23"/>
      <c r="DD7" s="23"/>
      <c r="DE7" s="23"/>
      <c r="DF7" s="23"/>
      <c r="DG7" s="23"/>
      <c r="DH7" s="23"/>
      <c r="DI7" s="23"/>
      <c r="DJ7" s="23"/>
      <c r="DK7" s="23"/>
      <c r="DL7" s="23"/>
      <c r="DM7" s="23"/>
      <c r="DN7" s="23"/>
      <c r="DO7" s="23"/>
      <c r="DP7" s="23"/>
      <c r="DQ7" s="23"/>
      <c r="DR7" s="23"/>
      <c r="DS7" s="23"/>
      <c r="DT7" s="23"/>
      <c r="DU7" s="23"/>
      <c r="DV7" s="23"/>
      <c r="DW7" s="23"/>
      <c r="DX7" s="23"/>
      <c r="DY7" s="23"/>
      <c r="DZ7" s="23"/>
      <c r="EA7" s="23"/>
      <c r="EB7" s="23"/>
      <c r="EC7" s="23"/>
      <c r="ED7" s="23"/>
      <c r="EE7" s="23"/>
      <c r="EF7" s="23"/>
      <c r="EG7" s="23"/>
      <c r="EH7" s="23"/>
      <c r="EI7" s="23"/>
      <c r="EJ7" s="23"/>
      <c r="EK7" s="23"/>
      <c r="EL7" s="23"/>
      <c r="EM7" s="23"/>
      <c r="EN7" s="23"/>
      <c r="EO7" s="23"/>
      <c r="EP7" s="23"/>
      <c r="EQ7" s="23"/>
      <c r="ER7" s="23"/>
      <c r="ES7" s="23"/>
      <c r="ET7" s="23"/>
      <c r="EU7" s="23"/>
      <c r="EV7" s="23"/>
      <c r="EW7" s="23"/>
      <c r="EX7" s="23"/>
      <c r="EY7" s="23"/>
      <c r="EZ7" s="23"/>
      <c r="FA7" s="23"/>
      <c r="FB7" s="23"/>
      <c r="FC7" s="23"/>
      <c r="FD7" s="23"/>
      <c r="FE7" s="23"/>
      <c r="FF7" s="23"/>
      <c r="FG7" s="23"/>
      <c r="FH7" s="23"/>
      <c r="FI7" s="23"/>
      <c r="FJ7" s="23"/>
      <c r="FK7" s="23"/>
      <c r="FL7" s="23"/>
      <c r="FM7" s="23"/>
      <c r="FN7" s="23"/>
      <c r="FO7" s="23"/>
      <c r="FP7" s="23"/>
      <c r="FQ7" s="23"/>
      <c r="FR7" s="23"/>
      <c r="FS7" s="23"/>
      <c r="FT7" s="23"/>
      <c r="FU7" s="23"/>
      <c r="FV7" s="23"/>
      <c r="FW7" s="23"/>
      <c r="FX7" s="23"/>
      <c r="FY7" s="23"/>
      <c r="FZ7" s="23"/>
      <c r="GA7" s="23"/>
      <c r="GB7" s="23"/>
      <c r="GC7" s="23"/>
      <c r="GD7" s="23"/>
      <c r="GE7" s="23"/>
      <c r="GF7" s="23"/>
      <c r="GG7" s="23"/>
      <c r="GH7" s="23"/>
      <c r="GI7" s="23"/>
      <c r="GJ7" s="23"/>
      <c r="GK7" s="23"/>
      <c r="GL7" s="23"/>
      <c r="GM7" s="23"/>
      <c r="GN7" s="23"/>
      <c r="GO7" s="23"/>
      <c r="GP7" s="23"/>
      <c r="GQ7" s="23"/>
      <c r="GR7" s="23"/>
      <c r="GS7" s="23"/>
      <c r="GT7" s="23"/>
      <c r="GU7" s="23"/>
      <c r="GV7" s="23"/>
      <c r="GW7" s="23"/>
      <c r="GX7" s="23"/>
      <c r="GY7" s="23"/>
      <c r="GZ7" s="23"/>
      <c r="HA7" s="23"/>
      <c r="HB7" s="23"/>
      <c r="HC7" s="23"/>
      <c r="HD7" s="23"/>
      <c r="HE7" s="23"/>
      <c r="HF7" s="23"/>
      <c r="HG7" s="23"/>
      <c r="HH7" s="23"/>
      <c r="HI7" s="23"/>
      <c r="HJ7" s="23"/>
      <c r="HK7" s="23"/>
      <c r="HL7" s="23"/>
      <c r="HM7" s="23"/>
      <c r="HN7" s="23"/>
      <c r="HO7" s="23"/>
      <c r="HP7" s="23"/>
      <c r="HQ7" s="23"/>
      <c r="HR7" s="23"/>
      <c r="HS7" s="23"/>
      <c r="HT7" s="23"/>
      <c r="HU7" s="23"/>
      <c r="HV7" s="23"/>
      <c r="HW7" s="23"/>
      <c r="HX7" s="23"/>
      <c r="HY7" s="23"/>
      <c r="HZ7" s="23"/>
      <c r="IA7" s="23"/>
      <c r="IB7" s="23"/>
      <c r="IC7" s="23"/>
      <c r="ID7" s="23"/>
      <c r="IE7" s="23"/>
      <c r="IF7" s="23"/>
      <c r="IG7" s="23"/>
      <c r="IH7" s="23"/>
      <c r="II7" s="23"/>
      <c r="IJ7" s="23"/>
      <c r="IK7" s="23"/>
      <c r="IL7" s="23"/>
      <c r="IM7" s="23"/>
      <c r="IN7" s="23"/>
      <c r="IO7" s="23"/>
      <c r="IP7" s="23"/>
      <c r="IQ7" s="23"/>
      <c r="IR7" s="23"/>
      <c r="IS7" s="23"/>
      <c r="IT7" s="23"/>
      <c r="IU7" s="23"/>
      <c r="IV7" s="23"/>
      <c r="IW7" s="23"/>
    </row>
    <row r="8" spans="1:257" ht="20.85" customHeight="1" x14ac:dyDescent="0.3">
      <c r="A8" s="19"/>
      <c r="B8" s="20"/>
      <c r="C8" s="10" t="s">
        <v>0</v>
      </c>
      <c r="D8" s="10"/>
      <c r="E8" s="10"/>
      <c r="F8" s="10"/>
      <c r="G8" s="10"/>
      <c r="H8" s="10"/>
      <c r="I8" s="22"/>
      <c r="J8" s="22"/>
      <c r="K8" s="22"/>
      <c r="L8" s="22"/>
      <c r="M8" s="22"/>
      <c r="N8" s="22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23"/>
      <c r="AL8" s="23"/>
      <c r="AM8" s="23"/>
      <c r="AN8" s="23"/>
      <c r="AO8" s="23"/>
      <c r="AP8" s="23"/>
      <c r="AQ8" s="23"/>
      <c r="AR8" s="23"/>
      <c r="AS8" s="23"/>
      <c r="AT8" s="23"/>
      <c r="AU8" s="23"/>
      <c r="AV8" s="23"/>
      <c r="AW8" s="23"/>
      <c r="AX8" s="23"/>
      <c r="AY8" s="23"/>
      <c r="AZ8" s="23"/>
      <c r="BA8" s="23"/>
      <c r="BB8" s="23"/>
      <c r="BC8" s="23"/>
      <c r="BD8" s="23"/>
      <c r="BE8" s="23"/>
      <c r="BF8" s="23"/>
      <c r="BG8" s="23"/>
      <c r="BH8" s="23"/>
      <c r="BI8" s="23"/>
      <c r="BJ8" s="23"/>
      <c r="BK8" s="23"/>
      <c r="BL8" s="23"/>
      <c r="BM8" s="23"/>
      <c r="BN8" s="23"/>
      <c r="BO8" s="23"/>
      <c r="BP8" s="23"/>
      <c r="BQ8" s="23"/>
      <c r="BR8" s="23"/>
      <c r="BS8" s="23"/>
      <c r="BT8" s="23"/>
      <c r="BU8" s="23"/>
      <c r="BV8" s="23"/>
      <c r="BW8" s="23"/>
      <c r="BX8" s="23"/>
      <c r="BY8" s="23"/>
      <c r="BZ8" s="23"/>
      <c r="CA8" s="23"/>
      <c r="CB8" s="23"/>
      <c r="CC8" s="23"/>
      <c r="CD8" s="23"/>
      <c r="CE8" s="23"/>
      <c r="CF8" s="23"/>
      <c r="CG8" s="23"/>
      <c r="CH8" s="23"/>
      <c r="CI8" s="23"/>
      <c r="CJ8" s="23"/>
      <c r="CK8" s="23"/>
      <c r="CL8" s="23"/>
      <c r="CM8" s="23"/>
      <c r="CN8" s="23"/>
      <c r="CO8" s="23"/>
      <c r="CP8" s="23"/>
      <c r="CQ8" s="23"/>
      <c r="CR8" s="23"/>
      <c r="CS8" s="23"/>
      <c r="CT8" s="23"/>
      <c r="CU8" s="23"/>
      <c r="CV8" s="23"/>
      <c r="CW8" s="23"/>
      <c r="CX8" s="23"/>
      <c r="CY8" s="23"/>
      <c r="CZ8" s="23"/>
      <c r="DA8" s="23"/>
      <c r="DB8" s="23"/>
      <c r="DC8" s="23"/>
      <c r="DD8" s="23"/>
      <c r="DE8" s="23"/>
      <c r="DF8" s="23"/>
      <c r="DG8" s="23"/>
      <c r="DH8" s="23"/>
      <c r="DI8" s="23"/>
      <c r="DJ8" s="23"/>
      <c r="DK8" s="23"/>
      <c r="DL8" s="23"/>
      <c r="DM8" s="23"/>
      <c r="DN8" s="23"/>
      <c r="DO8" s="23"/>
      <c r="DP8" s="23"/>
      <c r="DQ8" s="23"/>
      <c r="DR8" s="23"/>
      <c r="DS8" s="23"/>
      <c r="DT8" s="23"/>
      <c r="DU8" s="23"/>
      <c r="DV8" s="23"/>
      <c r="DW8" s="23"/>
      <c r="DX8" s="23"/>
      <c r="DY8" s="23"/>
      <c r="DZ8" s="23"/>
      <c r="EA8" s="23"/>
      <c r="EB8" s="23"/>
      <c r="EC8" s="23"/>
      <c r="ED8" s="23"/>
      <c r="EE8" s="23"/>
      <c r="EF8" s="23"/>
      <c r="EG8" s="23"/>
      <c r="EH8" s="23"/>
      <c r="EI8" s="23"/>
      <c r="EJ8" s="23"/>
      <c r="EK8" s="23"/>
      <c r="EL8" s="23"/>
      <c r="EM8" s="23"/>
      <c r="EN8" s="23"/>
      <c r="EO8" s="23"/>
      <c r="EP8" s="23"/>
      <c r="EQ8" s="23"/>
      <c r="ER8" s="23"/>
      <c r="ES8" s="23"/>
      <c r="ET8" s="23"/>
      <c r="EU8" s="23"/>
      <c r="EV8" s="23"/>
      <c r="EW8" s="23"/>
      <c r="EX8" s="23"/>
      <c r="EY8" s="23"/>
      <c r="EZ8" s="23"/>
      <c r="FA8" s="23"/>
      <c r="FB8" s="23"/>
      <c r="FC8" s="23"/>
      <c r="FD8" s="23"/>
      <c r="FE8" s="23"/>
      <c r="FF8" s="23"/>
      <c r="FG8" s="23"/>
      <c r="FH8" s="23"/>
      <c r="FI8" s="23"/>
      <c r="FJ8" s="23"/>
      <c r="FK8" s="23"/>
      <c r="FL8" s="23"/>
      <c r="FM8" s="23"/>
      <c r="FN8" s="23"/>
      <c r="FO8" s="23"/>
      <c r="FP8" s="23"/>
      <c r="FQ8" s="23"/>
      <c r="FR8" s="23"/>
      <c r="FS8" s="23"/>
      <c r="FT8" s="23"/>
      <c r="FU8" s="23"/>
      <c r="FV8" s="23"/>
      <c r="FW8" s="23"/>
      <c r="FX8" s="23"/>
      <c r="FY8" s="23"/>
      <c r="FZ8" s="23"/>
      <c r="GA8" s="23"/>
      <c r="GB8" s="23"/>
      <c r="GC8" s="23"/>
      <c r="GD8" s="23"/>
      <c r="GE8" s="23"/>
      <c r="GF8" s="23"/>
      <c r="GG8" s="23"/>
      <c r="GH8" s="23"/>
      <c r="GI8" s="23"/>
      <c r="GJ8" s="23"/>
      <c r="GK8" s="23"/>
      <c r="GL8" s="23"/>
      <c r="GM8" s="23"/>
      <c r="GN8" s="23"/>
      <c r="GO8" s="23"/>
      <c r="GP8" s="23"/>
      <c r="GQ8" s="23"/>
      <c r="GR8" s="23"/>
      <c r="GS8" s="23"/>
      <c r="GT8" s="23"/>
      <c r="GU8" s="23"/>
      <c r="GV8" s="23"/>
      <c r="GW8" s="23"/>
      <c r="GX8" s="23"/>
      <c r="GY8" s="23"/>
      <c r="GZ8" s="23"/>
      <c r="HA8" s="23"/>
      <c r="HB8" s="23"/>
      <c r="HC8" s="23"/>
      <c r="HD8" s="23"/>
      <c r="HE8" s="23"/>
      <c r="HF8" s="23"/>
      <c r="HG8" s="23"/>
      <c r="HH8" s="23"/>
      <c r="HI8" s="23"/>
      <c r="HJ8" s="23"/>
      <c r="HK8" s="23"/>
      <c r="HL8" s="23"/>
      <c r="HM8" s="23"/>
      <c r="HN8" s="23"/>
      <c r="HO8" s="23"/>
      <c r="HP8" s="23"/>
      <c r="HQ8" s="23"/>
      <c r="HR8" s="23"/>
      <c r="HS8" s="23"/>
      <c r="HT8" s="23"/>
      <c r="HU8" s="23"/>
      <c r="HV8" s="23"/>
      <c r="HW8" s="23"/>
      <c r="HX8" s="23"/>
      <c r="HY8" s="23"/>
      <c r="HZ8" s="23"/>
      <c r="IA8" s="23"/>
      <c r="IB8" s="23"/>
      <c r="IC8" s="23"/>
      <c r="ID8" s="23"/>
      <c r="IE8" s="23"/>
      <c r="IF8" s="23"/>
      <c r="IG8" s="23"/>
      <c r="IH8" s="23"/>
      <c r="II8" s="23"/>
      <c r="IJ8" s="23"/>
      <c r="IK8" s="23"/>
      <c r="IL8" s="23"/>
      <c r="IM8" s="23"/>
      <c r="IN8" s="23"/>
      <c r="IO8" s="23"/>
      <c r="IP8" s="23"/>
      <c r="IQ8" s="23"/>
      <c r="IR8" s="23"/>
      <c r="IS8" s="23"/>
      <c r="IT8" s="23"/>
      <c r="IU8" s="23"/>
      <c r="IV8" s="23"/>
      <c r="IW8" s="23"/>
    </row>
    <row r="9" spans="1:257" ht="20.85" customHeight="1" x14ac:dyDescent="0.3">
      <c r="A9" s="19"/>
      <c r="B9" s="20"/>
      <c r="C9" s="10" t="s">
        <v>1</v>
      </c>
      <c r="D9" s="10"/>
      <c r="E9" s="10"/>
      <c r="F9" s="10"/>
      <c r="G9" s="10"/>
      <c r="H9" s="10"/>
      <c r="I9" s="22"/>
      <c r="J9" s="22"/>
      <c r="K9" s="22"/>
      <c r="L9" s="22"/>
      <c r="M9" s="22"/>
      <c r="N9" s="22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3"/>
      <c r="AS9" s="23"/>
      <c r="AT9" s="23"/>
      <c r="AU9" s="23"/>
      <c r="AV9" s="23"/>
      <c r="AW9" s="23"/>
      <c r="AX9" s="23"/>
      <c r="AY9" s="23"/>
      <c r="AZ9" s="23"/>
      <c r="BA9" s="23"/>
      <c r="BB9" s="23"/>
      <c r="BC9" s="23"/>
      <c r="BD9" s="23"/>
      <c r="BE9" s="23"/>
      <c r="BF9" s="23"/>
      <c r="BG9" s="23"/>
      <c r="BH9" s="23"/>
      <c r="BI9" s="23"/>
      <c r="BJ9" s="23"/>
      <c r="BK9" s="23"/>
      <c r="BL9" s="23"/>
      <c r="BM9" s="23"/>
      <c r="BN9" s="23"/>
      <c r="BO9" s="23"/>
      <c r="BP9" s="23"/>
      <c r="BQ9" s="23"/>
      <c r="BR9" s="23"/>
      <c r="BS9" s="23"/>
      <c r="BT9" s="23"/>
      <c r="BU9" s="23"/>
      <c r="BV9" s="23"/>
      <c r="BW9" s="23"/>
      <c r="BX9" s="23"/>
      <c r="BY9" s="23"/>
      <c r="BZ9" s="23"/>
      <c r="CA9" s="23"/>
      <c r="CB9" s="23"/>
      <c r="CC9" s="23"/>
      <c r="CD9" s="23"/>
      <c r="CE9" s="23"/>
      <c r="CF9" s="23"/>
      <c r="CG9" s="23"/>
      <c r="CH9" s="23"/>
      <c r="CI9" s="23"/>
      <c r="CJ9" s="23"/>
      <c r="CK9" s="23"/>
      <c r="CL9" s="23"/>
      <c r="CM9" s="23"/>
      <c r="CN9" s="23"/>
      <c r="CO9" s="23"/>
      <c r="CP9" s="23"/>
      <c r="CQ9" s="23"/>
      <c r="CR9" s="23"/>
      <c r="CS9" s="23"/>
      <c r="CT9" s="23"/>
      <c r="CU9" s="23"/>
      <c r="CV9" s="23"/>
      <c r="CW9" s="23"/>
      <c r="CX9" s="23"/>
      <c r="CY9" s="23"/>
      <c r="CZ9" s="23"/>
      <c r="DA9" s="23"/>
      <c r="DB9" s="23"/>
      <c r="DC9" s="23"/>
      <c r="DD9" s="23"/>
      <c r="DE9" s="23"/>
      <c r="DF9" s="23"/>
      <c r="DG9" s="23"/>
      <c r="DH9" s="23"/>
      <c r="DI9" s="23"/>
      <c r="DJ9" s="23"/>
      <c r="DK9" s="23"/>
      <c r="DL9" s="23"/>
      <c r="DM9" s="23"/>
      <c r="DN9" s="23"/>
      <c r="DO9" s="23"/>
      <c r="DP9" s="23"/>
      <c r="DQ9" s="23"/>
      <c r="DR9" s="23"/>
      <c r="DS9" s="23"/>
      <c r="DT9" s="23"/>
      <c r="DU9" s="23"/>
      <c r="DV9" s="23"/>
      <c r="DW9" s="23"/>
      <c r="DX9" s="23"/>
      <c r="DY9" s="23"/>
      <c r="DZ9" s="23"/>
      <c r="EA9" s="23"/>
      <c r="EB9" s="23"/>
      <c r="EC9" s="23"/>
      <c r="ED9" s="23"/>
      <c r="EE9" s="23"/>
      <c r="EF9" s="23"/>
      <c r="EG9" s="23"/>
      <c r="EH9" s="23"/>
      <c r="EI9" s="23"/>
      <c r="EJ9" s="23"/>
      <c r="EK9" s="23"/>
      <c r="EL9" s="23"/>
      <c r="EM9" s="23"/>
      <c r="EN9" s="23"/>
      <c r="EO9" s="23"/>
      <c r="EP9" s="23"/>
      <c r="EQ9" s="23"/>
      <c r="ER9" s="23"/>
      <c r="ES9" s="23"/>
      <c r="ET9" s="23"/>
      <c r="EU9" s="23"/>
      <c r="EV9" s="23"/>
      <c r="EW9" s="23"/>
      <c r="EX9" s="23"/>
      <c r="EY9" s="23"/>
      <c r="EZ9" s="23"/>
      <c r="FA9" s="23"/>
      <c r="FB9" s="23"/>
      <c r="FC9" s="23"/>
      <c r="FD9" s="23"/>
      <c r="FE9" s="23"/>
      <c r="FF9" s="23"/>
      <c r="FG9" s="23"/>
      <c r="FH9" s="23"/>
      <c r="FI9" s="23"/>
      <c r="FJ9" s="23"/>
      <c r="FK9" s="23"/>
      <c r="FL9" s="23"/>
      <c r="FM9" s="23"/>
      <c r="FN9" s="23"/>
      <c r="FO9" s="23"/>
      <c r="FP9" s="23"/>
      <c r="FQ9" s="23"/>
      <c r="FR9" s="23"/>
      <c r="FS9" s="23"/>
      <c r="FT9" s="23"/>
      <c r="FU9" s="23"/>
      <c r="FV9" s="23"/>
      <c r="FW9" s="23"/>
      <c r="FX9" s="23"/>
      <c r="FY9" s="23"/>
      <c r="FZ9" s="23"/>
      <c r="GA9" s="23"/>
      <c r="GB9" s="23"/>
      <c r="GC9" s="23"/>
      <c r="GD9" s="23"/>
      <c r="GE9" s="23"/>
      <c r="GF9" s="23"/>
      <c r="GG9" s="23"/>
      <c r="GH9" s="23"/>
      <c r="GI9" s="23"/>
      <c r="GJ9" s="23"/>
      <c r="GK9" s="23"/>
      <c r="GL9" s="23"/>
      <c r="GM9" s="23"/>
      <c r="GN9" s="23"/>
      <c r="GO9" s="23"/>
      <c r="GP9" s="23"/>
      <c r="GQ9" s="23"/>
      <c r="GR9" s="23"/>
      <c r="GS9" s="23"/>
      <c r="GT9" s="23"/>
      <c r="GU9" s="23"/>
      <c r="GV9" s="23"/>
      <c r="GW9" s="23"/>
      <c r="GX9" s="23"/>
      <c r="GY9" s="23"/>
      <c r="GZ9" s="23"/>
      <c r="HA9" s="23"/>
      <c r="HB9" s="23"/>
      <c r="HC9" s="23"/>
      <c r="HD9" s="23"/>
      <c r="HE9" s="23"/>
      <c r="HF9" s="23"/>
      <c r="HG9" s="23"/>
      <c r="HH9" s="23"/>
      <c r="HI9" s="23"/>
      <c r="HJ9" s="23"/>
      <c r="HK9" s="23"/>
      <c r="HL9" s="23"/>
      <c r="HM9" s="23"/>
      <c r="HN9" s="23"/>
      <c r="HO9" s="23"/>
      <c r="HP9" s="23"/>
      <c r="HQ9" s="23"/>
      <c r="HR9" s="23"/>
      <c r="HS9" s="23"/>
      <c r="HT9" s="23"/>
      <c r="HU9" s="23"/>
      <c r="HV9" s="23"/>
      <c r="HW9" s="23"/>
      <c r="HX9" s="23"/>
      <c r="HY9" s="23"/>
      <c r="HZ9" s="23"/>
      <c r="IA9" s="23"/>
      <c r="IB9" s="23"/>
      <c r="IC9" s="23"/>
      <c r="ID9" s="23"/>
      <c r="IE9" s="23"/>
      <c r="IF9" s="23"/>
      <c r="IG9" s="23"/>
      <c r="IH9" s="23"/>
      <c r="II9" s="23"/>
      <c r="IJ9" s="23"/>
      <c r="IK9" s="23"/>
      <c r="IL9" s="23"/>
      <c r="IM9" s="23"/>
      <c r="IN9" s="23"/>
      <c r="IO9" s="23"/>
      <c r="IP9" s="23"/>
      <c r="IQ9" s="23"/>
      <c r="IR9" s="23"/>
      <c r="IS9" s="23"/>
      <c r="IT9" s="23"/>
      <c r="IU9" s="23"/>
      <c r="IV9" s="23"/>
      <c r="IW9" s="23"/>
    </row>
    <row r="10" spans="1:257" ht="20.85" customHeight="1" x14ac:dyDescent="0.3">
      <c r="A10" s="19"/>
      <c r="B10" s="20"/>
      <c r="C10" s="10" t="s">
        <v>2</v>
      </c>
      <c r="D10" s="10"/>
      <c r="E10" s="10"/>
      <c r="F10" s="10"/>
      <c r="G10" s="10"/>
      <c r="H10" s="10"/>
      <c r="I10" s="22"/>
      <c r="J10" s="22"/>
      <c r="K10" s="22"/>
      <c r="L10" s="22"/>
      <c r="M10" s="22"/>
      <c r="N10" s="22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/>
      <c r="AQ10" s="23"/>
      <c r="AR10" s="23"/>
      <c r="AS10" s="23"/>
      <c r="AT10" s="23"/>
      <c r="AU10" s="23"/>
      <c r="AV10" s="23"/>
      <c r="AW10" s="23"/>
      <c r="AX10" s="23"/>
      <c r="AY10" s="23"/>
      <c r="AZ10" s="23"/>
      <c r="BA10" s="23"/>
      <c r="BB10" s="23"/>
      <c r="BC10" s="23"/>
      <c r="BD10" s="23"/>
      <c r="BE10" s="23"/>
      <c r="BF10" s="23"/>
      <c r="BG10" s="23"/>
      <c r="BH10" s="23"/>
      <c r="BI10" s="23"/>
      <c r="BJ10" s="23"/>
      <c r="BK10" s="23"/>
      <c r="BL10" s="23"/>
      <c r="BM10" s="23"/>
      <c r="BN10" s="23"/>
      <c r="BO10" s="23"/>
      <c r="BP10" s="23"/>
      <c r="BQ10" s="23"/>
      <c r="BR10" s="23"/>
      <c r="BS10" s="23"/>
      <c r="BT10" s="23"/>
      <c r="BU10" s="23"/>
      <c r="BV10" s="23"/>
      <c r="BW10" s="23"/>
      <c r="BX10" s="23"/>
      <c r="BY10" s="23"/>
      <c r="BZ10" s="23"/>
      <c r="CA10" s="23"/>
      <c r="CB10" s="23"/>
      <c r="CC10" s="23"/>
      <c r="CD10" s="23"/>
      <c r="CE10" s="23"/>
      <c r="CF10" s="23"/>
      <c r="CG10" s="23"/>
      <c r="CH10" s="23"/>
      <c r="CI10" s="23"/>
      <c r="CJ10" s="23"/>
      <c r="CK10" s="23"/>
      <c r="CL10" s="23"/>
      <c r="CM10" s="23"/>
      <c r="CN10" s="23"/>
      <c r="CO10" s="23"/>
      <c r="CP10" s="23"/>
      <c r="CQ10" s="23"/>
      <c r="CR10" s="23"/>
      <c r="CS10" s="23"/>
      <c r="CT10" s="23"/>
      <c r="CU10" s="23"/>
      <c r="CV10" s="23"/>
      <c r="CW10" s="23"/>
      <c r="CX10" s="23"/>
      <c r="CY10" s="23"/>
      <c r="CZ10" s="23"/>
      <c r="DA10" s="23"/>
      <c r="DB10" s="23"/>
      <c r="DC10" s="23"/>
      <c r="DD10" s="23"/>
      <c r="DE10" s="23"/>
      <c r="DF10" s="23"/>
      <c r="DG10" s="23"/>
      <c r="DH10" s="23"/>
      <c r="DI10" s="23"/>
      <c r="DJ10" s="23"/>
      <c r="DK10" s="23"/>
      <c r="DL10" s="23"/>
      <c r="DM10" s="23"/>
      <c r="DN10" s="23"/>
      <c r="DO10" s="23"/>
      <c r="DP10" s="23"/>
      <c r="DQ10" s="23"/>
      <c r="DR10" s="23"/>
      <c r="DS10" s="23"/>
      <c r="DT10" s="23"/>
      <c r="DU10" s="23"/>
      <c r="DV10" s="23"/>
      <c r="DW10" s="23"/>
      <c r="DX10" s="23"/>
      <c r="DY10" s="23"/>
      <c r="DZ10" s="23"/>
      <c r="EA10" s="23"/>
      <c r="EB10" s="23"/>
      <c r="EC10" s="23"/>
      <c r="ED10" s="23"/>
      <c r="EE10" s="23"/>
      <c r="EF10" s="23"/>
      <c r="EG10" s="23"/>
      <c r="EH10" s="23"/>
      <c r="EI10" s="23"/>
      <c r="EJ10" s="23"/>
      <c r="EK10" s="23"/>
      <c r="EL10" s="23"/>
      <c r="EM10" s="23"/>
      <c r="EN10" s="23"/>
      <c r="EO10" s="23"/>
      <c r="EP10" s="23"/>
      <c r="EQ10" s="23"/>
      <c r="ER10" s="23"/>
      <c r="ES10" s="23"/>
      <c r="ET10" s="23"/>
      <c r="EU10" s="23"/>
      <c r="EV10" s="23"/>
      <c r="EW10" s="23"/>
      <c r="EX10" s="23"/>
      <c r="EY10" s="23"/>
      <c r="EZ10" s="23"/>
      <c r="FA10" s="23"/>
      <c r="FB10" s="23"/>
      <c r="FC10" s="23"/>
      <c r="FD10" s="23"/>
      <c r="FE10" s="23"/>
      <c r="FF10" s="23"/>
      <c r="FG10" s="23"/>
      <c r="FH10" s="23"/>
      <c r="FI10" s="23"/>
      <c r="FJ10" s="23"/>
      <c r="FK10" s="23"/>
      <c r="FL10" s="23"/>
      <c r="FM10" s="23"/>
      <c r="FN10" s="23"/>
      <c r="FO10" s="23"/>
      <c r="FP10" s="23"/>
      <c r="FQ10" s="23"/>
      <c r="FR10" s="23"/>
      <c r="FS10" s="23"/>
      <c r="FT10" s="23"/>
      <c r="FU10" s="23"/>
      <c r="FV10" s="23"/>
      <c r="FW10" s="23"/>
      <c r="FX10" s="23"/>
      <c r="FY10" s="23"/>
      <c r="FZ10" s="23"/>
      <c r="GA10" s="23"/>
      <c r="GB10" s="23"/>
      <c r="GC10" s="23"/>
      <c r="GD10" s="23"/>
      <c r="GE10" s="23"/>
      <c r="GF10" s="23"/>
      <c r="GG10" s="23"/>
      <c r="GH10" s="23"/>
      <c r="GI10" s="23"/>
      <c r="GJ10" s="23"/>
      <c r="GK10" s="23"/>
      <c r="GL10" s="23"/>
      <c r="GM10" s="23"/>
      <c r="GN10" s="23"/>
      <c r="GO10" s="23"/>
      <c r="GP10" s="23"/>
      <c r="GQ10" s="23"/>
      <c r="GR10" s="23"/>
      <c r="GS10" s="23"/>
      <c r="GT10" s="23"/>
      <c r="GU10" s="23"/>
      <c r="GV10" s="23"/>
      <c r="GW10" s="23"/>
      <c r="GX10" s="23"/>
      <c r="GY10" s="23"/>
      <c r="GZ10" s="23"/>
      <c r="HA10" s="23"/>
      <c r="HB10" s="23"/>
      <c r="HC10" s="23"/>
      <c r="HD10" s="23"/>
      <c r="HE10" s="23"/>
      <c r="HF10" s="23"/>
      <c r="HG10" s="23"/>
      <c r="HH10" s="23"/>
      <c r="HI10" s="23"/>
      <c r="HJ10" s="23"/>
      <c r="HK10" s="23"/>
      <c r="HL10" s="23"/>
      <c r="HM10" s="23"/>
      <c r="HN10" s="23"/>
      <c r="HO10" s="23"/>
      <c r="HP10" s="23"/>
      <c r="HQ10" s="23"/>
      <c r="HR10" s="23"/>
      <c r="HS10" s="23"/>
      <c r="HT10" s="23"/>
      <c r="HU10" s="23"/>
      <c r="HV10" s="23"/>
      <c r="HW10" s="23"/>
      <c r="HX10" s="23"/>
      <c r="HY10" s="23"/>
      <c r="HZ10" s="23"/>
      <c r="IA10" s="23"/>
      <c r="IB10" s="23"/>
      <c r="IC10" s="23"/>
      <c r="ID10" s="23"/>
      <c r="IE10" s="23"/>
      <c r="IF10" s="23"/>
      <c r="IG10" s="23"/>
      <c r="IH10" s="23"/>
      <c r="II10" s="23"/>
      <c r="IJ10" s="23"/>
      <c r="IK10" s="23"/>
      <c r="IL10" s="23"/>
      <c r="IM10" s="23"/>
      <c r="IN10" s="23"/>
      <c r="IO10" s="23"/>
      <c r="IP10" s="23"/>
      <c r="IQ10" s="23"/>
      <c r="IR10" s="23"/>
      <c r="IS10" s="23"/>
      <c r="IT10" s="23"/>
      <c r="IU10" s="23"/>
      <c r="IV10" s="23"/>
      <c r="IW10" s="23"/>
    </row>
    <row r="11" spans="1:257" ht="20.85" customHeight="1" x14ac:dyDescent="0.3">
      <c r="A11" s="19"/>
      <c r="B11" s="20"/>
      <c r="C11" s="10" t="s">
        <v>620</v>
      </c>
      <c r="D11" s="10"/>
      <c r="E11" s="10"/>
      <c r="F11" s="10"/>
      <c r="G11" s="10"/>
      <c r="H11" s="10"/>
      <c r="I11" s="22"/>
      <c r="J11" s="22"/>
      <c r="K11" s="22"/>
      <c r="L11" s="22"/>
      <c r="M11" s="22"/>
      <c r="N11" s="22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23"/>
      <c r="AL11" s="23"/>
      <c r="AM11" s="23"/>
      <c r="AN11" s="23"/>
      <c r="AO11" s="23"/>
      <c r="AP11" s="23"/>
      <c r="AQ11" s="23"/>
      <c r="AR11" s="23"/>
      <c r="AS11" s="23"/>
      <c r="AT11" s="23"/>
      <c r="AU11" s="23"/>
      <c r="AV11" s="23"/>
      <c r="AW11" s="23"/>
      <c r="AX11" s="23"/>
      <c r="AY11" s="23"/>
      <c r="AZ11" s="23"/>
      <c r="BA11" s="23"/>
      <c r="BB11" s="23"/>
      <c r="BC11" s="23"/>
      <c r="BD11" s="23"/>
      <c r="BE11" s="23"/>
      <c r="BF11" s="23"/>
      <c r="BG11" s="23"/>
      <c r="BH11" s="23"/>
      <c r="BI11" s="23"/>
      <c r="BJ11" s="23"/>
      <c r="BK11" s="23"/>
      <c r="BL11" s="23"/>
      <c r="BM11" s="23"/>
      <c r="BN11" s="23"/>
      <c r="BO11" s="23"/>
      <c r="BP11" s="23"/>
      <c r="BQ11" s="23"/>
      <c r="BR11" s="23"/>
      <c r="BS11" s="23"/>
      <c r="BT11" s="23"/>
      <c r="BU11" s="23"/>
      <c r="BV11" s="23"/>
      <c r="BW11" s="23"/>
      <c r="BX11" s="23"/>
      <c r="BY11" s="23"/>
      <c r="BZ11" s="23"/>
      <c r="CA11" s="23"/>
      <c r="CB11" s="23"/>
      <c r="CC11" s="23"/>
      <c r="CD11" s="23"/>
      <c r="CE11" s="23"/>
      <c r="CF11" s="23"/>
      <c r="CG11" s="23"/>
      <c r="CH11" s="23"/>
      <c r="CI11" s="23"/>
      <c r="CJ11" s="23"/>
      <c r="CK11" s="23"/>
      <c r="CL11" s="23"/>
      <c r="CM11" s="23"/>
      <c r="CN11" s="23"/>
      <c r="CO11" s="23"/>
      <c r="CP11" s="23"/>
      <c r="CQ11" s="23"/>
      <c r="CR11" s="23"/>
      <c r="CS11" s="23"/>
      <c r="CT11" s="23"/>
      <c r="CU11" s="23"/>
      <c r="CV11" s="23"/>
      <c r="CW11" s="23"/>
      <c r="CX11" s="23"/>
      <c r="CY11" s="23"/>
      <c r="CZ11" s="23"/>
      <c r="DA11" s="23"/>
      <c r="DB11" s="23"/>
      <c r="DC11" s="23"/>
      <c r="DD11" s="23"/>
      <c r="DE11" s="23"/>
      <c r="DF11" s="23"/>
      <c r="DG11" s="23"/>
      <c r="DH11" s="23"/>
      <c r="DI11" s="23"/>
      <c r="DJ11" s="23"/>
      <c r="DK11" s="23"/>
      <c r="DL11" s="23"/>
      <c r="DM11" s="23"/>
      <c r="DN11" s="23"/>
      <c r="DO11" s="23"/>
      <c r="DP11" s="23"/>
      <c r="DQ11" s="23"/>
      <c r="DR11" s="23"/>
      <c r="DS11" s="23"/>
      <c r="DT11" s="23"/>
      <c r="DU11" s="23"/>
      <c r="DV11" s="23"/>
      <c r="DW11" s="23"/>
      <c r="DX11" s="23"/>
      <c r="DY11" s="23"/>
      <c r="DZ11" s="23"/>
      <c r="EA11" s="23"/>
      <c r="EB11" s="23"/>
      <c r="EC11" s="23"/>
      <c r="ED11" s="23"/>
      <c r="EE11" s="23"/>
      <c r="EF11" s="23"/>
      <c r="EG11" s="23"/>
      <c r="EH11" s="23"/>
      <c r="EI11" s="23"/>
      <c r="EJ11" s="23"/>
      <c r="EK11" s="23"/>
      <c r="EL11" s="23"/>
      <c r="EM11" s="23"/>
      <c r="EN11" s="23"/>
      <c r="EO11" s="23"/>
      <c r="EP11" s="23"/>
      <c r="EQ11" s="23"/>
      <c r="ER11" s="23"/>
      <c r="ES11" s="23"/>
      <c r="ET11" s="23"/>
      <c r="EU11" s="23"/>
      <c r="EV11" s="23"/>
      <c r="EW11" s="23"/>
      <c r="EX11" s="23"/>
      <c r="EY11" s="23"/>
      <c r="EZ11" s="23"/>
      <c r="FA11" s="23"/>
      <c r="FB11" s="23"/>
      <c r="FC11" s="23"/>
      <c r="FD11" s="23"/>
      <c r="FE11" s="23"/>
      <c r="FF11" s="23"/>
      <c r="FG11" s="23"/>
      <c r="FH11" s="23"/>
      <c r="FI11" s="23"/>
      <c r="FJ11" s="23"/>
      <c r="FK11" s="23"/>
      <c r="FL11" s="23"/>
      <c r="FM11" s="23"/>
      <c r="FN11" s="23"/>
      <c r="FO11" s="23"/>
      <c r="FP11" s="23"/>
      <c r="FQ11" s="23"/>
      <c r="FR11" s="23"/>
      <c r="FS11" s="23"/>
      <c r="FT11" s="23"/>
      <c r="FU11" s="23"/>
      <c r="FV11" s="23"/>
      <c r="FW11" s="23"/>
      <c r="FX11" s="23"/>
      <c r="FY11" s="23"/>
      <c r="FZ11" s="23"/>
      <c r="GA11" s="23"/>
      <c r="GB11" s="23"/>
      <c r="GC11" s="23"/>
      <c r="GD11" s="23"/>
      <c r="GE11" s="23"/>
      <c r="GF11" s="23"/>
      <c r="GG11" s="23"/>
      <c r="GH11" s="23"/>
      <c r="GI11" s="23"/>
      <c r="GJ11" s="23"/>
      <c r="GK11" s="23"/>
      <c r="GL11" s="23"/>
      <c r="GM11" s="23"/>
      <c r="GN11" s="23"/>
      <c r="GO11" s="23"/>
      <c r="GP11" s="23"/>
      <c r="GQ11" s="23"/>
      <c r="GR11" s="23"/>
      <c r="GS11" s="23"/>
      <c r="GT11" s="23"/>
      <c r="GU11" s="23"/>
      <c r="GV11" s="23"/>
      <c r="GW11" s="23"/>
      <c r="GX11" s="23"/>
      <c r="GY11" s="23"/>
      <c r="GZ11" s="23"/>
      <c r="HA11" s="23"/>
      <c r="HB11" s="23"/>
      <c r="HC11" s="23"/>
      <c r="HD11" s="23"/>
      <c r="HE11" s="23"/>
      <c r="HF11" s="23"/>
      <c r="HG11" s="23"/>
      <c r="HH11" s="23"/>
      <c r="HI11" s="23"/>
      <c r="HJ11" s="23"/>
      <c r="HK11" s="23"/>
      <c r="HL11" s="23"/>
      <c r="HM11" s="23"/>
      <c r="HN11" s="23"/>
      <c r="HO11" s="23"/>
      <c r="HP11" s="23"/>
      <c r="HQ11" s="23"/>
      <c r="HR11" s="23"/>
      <c r="HS11" s="23"/>
      <c r="HT11" s="23"/>
      <c r="HU11" s="23"/>
      <c r="HV11" s="23"/>
      <c r="HW11" s="23"/>
      <c r="HX11" s="23"/>
      <c r="HY11" s="23"/>
      <c r="HZ11" s="23"/>
      <c r="IA11" s="23"/>
      <c r="IB11" s="23"/>
      <c r="IC11" s="23"/>
      <c r="ID11" s="23"/>
      <c r="IE11" s="23"/>
      <c r="IF11" s="23"/>
      <c r="IG11" s="23"/>
      <c r="IH11" s="23"/>
      <c r="II11" s="23"/>
      <c r="IJ11" s="23"/>
      <c r="IK11" s="23"/>
      <c r="IL11" s="23"/>
      <c r="IM11" s="23"/>
      <c r="IN11" s="23"/>
      <c r="IO11" s="23"/>
      <c r="IP11" s="23"/>
      <c r="IQ11" s="23"/>
      <c r="IR11" s="23"/>
      <c r="IS11" s="23"/>
      <c r="IT11" s="23"/>
      <c r="IU11" s="23"/>
      <c r="IV11" s="23"/>
      <c r="IW11" s="23"/>
    </row>
    <row r="12" spans="1:257" ht="24.95" customHeight="1" x14ac:dyDescent="0.3">
      <c r="B12" s="17"/>
      <c r="D12" s="13"/>
      <c r="G12" s="24"/>
      <c r="H12" s="17"/>
    </row>
    <row r="13" spans="1:257" ht="21.75" customHeight="1" x14ac:dyDescent="0.3">
      <c r="B13" s="8" t="s">
        <v>5</v>
      </c>
      <c r="C13" s="8"/>
      <c r="D13" s="8"/>
      <c r="E13" s="8"/>
      <c r="F13" s="8"/>
      <c r="G13" s="8"/>
      <c r="H13" s="8"/>
      <c r="I13" s="8"/>
    </row>
    <row r="14" spans="1:257" ht="16.899999999999999" customHeight="1" x14ac:dyDescent="0.3">
      <c r="A14" s="19"/>
      <c r="B14" s="17"/>
      <c r="D14" s="13"/>
      <c r="E14" s="13"/>
      <c r="F14" s="17"/>
      <c r="G14" s="13"/>
      <c r="H14" s="25" t="s">
        <v>6</v>
      </c>
    </row>
    <row r="15" spans="1:257" ht="12.75" customHeight="1" x14ac:dyDescent="0.2">
      <c r="A15" s="7" t="s">
        <v>7</v>
      </c>
      <c r="B15" s="6" t="s">
        <v>8</v>
      </c>
      <c r="C15" s="5" t="s">
        <v>9</v>
      </c>
      <c r="D15" s="4" t="s">
        <v>10</v>
      </c>
      <c r="E15" s="4" t="s">
        <v>11</v>
      </c>
      <c r="F15" s="4" t="s">
        <v>12</v>
      </c>
      <c r="G15" s="4" t="s">
        <v>13</v>
      </c>
      <c r="H15" s="3" t="s">
        <v>14</v>
      </c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  <c r="AF15" s="26"/>
      <c r="AG15" s="26"/>
      <c r="AH15" s="26"/>
      <c r="AI15" s="26"/>
      <c r="AJ15" s="26"/>
      <c r="AK15" s="26"/>
      <c r="AL15" s="26"/>
      <c r="AM15" s="26"/>
      <c r="AN15" s="26"/>
      <c r="AO15" s="26"/>
      <c r="AP15" s="26"/>
      <c r="AQ15" s="26"/>
      <c r="AR15" s="26"/>
      <c r="AS15" s="26"/>
      <c r="AT15" s="26"/>
      <c r="AU15" s="26"/>
      <c r="AV15" s="26"/>
      <c r="AW15" s="26"/>
      <c r="AX15" s="26"/>
      <c r="AY15" s="26"/>
      <c r="AZ15" s="26"/>
      <c r="BA15" s="26"/>
      <c r="BB15" s="26"/>
      <c r="BC15" s="26"/>
      <c r="BD15" s="26"/>
      <c r="BE15" s="26"/>
      <c r="BF15" s="26"/>
      <c r="BG15" s="26"/>
      <c r="BH15" s="26"/>
      <c r="BI15" s="26"/>
      <c r="BJ15" s="26"/>
      <c r="BK15" s="26"/>
      <c r="BL15" s="27"/>
      <c r="BM15" s="27"/>
      <c r="BN15" s="27"/>
      <c r="BO15" s="27"/>
      <c r="BP15" s="27"/>
      <c r="BQ15" s="27"/>
      <c r="BR15" s="27"/>
      <c r="BS15" s="27"/>
      <c r="BT15" s="27"/>
      <c r="BU15" s="27"/>
      <c r="BV15" s="27"/>
      <c r="BW15" s="27"/>
      <c r="BX15" s="27"/>
      <c r="BY15" s="27"/>
      <c r="BZ15" s="27"/>
      <c r="CA15" s="27"/>
      <c r="CB15" s="27"/>
      <c r="CC15" s="27"/>
      <c r="CD15" s="27"/>
      <c r="CE15" s="27"/>
      <c r="CF15" s="27"/>
      <c r="CG15" s="27"/>
      <c r="CH15" s="27"/>
      <c r="CI15" s="27"/>
      <c r="CJ15" s="27"/>
      <c r="CK15" s="27"/>
      <c r="CL15" s="27"/>
      <c r="CM15" s="27"/>
      <c r="CN15" s="27"/>
      <c r="CO15" s="27"/>
      <c r="CP15" s="27"/>
      <c r="CQ15" s="27"/>
      <c r="CR15" s="27"/>
      <c r="CS15" s="27"/>
      <c r="CT15" s="27"/>
      <c r="CU15" s="27"/>
      <c r="CV15" s="27"/>
      <c r="CW15" s="27"/>
      <c r="CX15" s="27"/>
      <c r="CY15" s="27"/>
      <c r="CZ15" s="27"/>
      <c r="DA15" s="27"/>
      <c r="DB15" s="27"/>
      <c r="DC15" s="27"/>
      <c r="DD15" s="27"/>
      <c r="DE15" s="27"/>
      <c r="DF15" s="27"/>
      <c r="DG15" s="27"/>
      <c r="DH15" s="27"/>
      <c r="DI15" s="27"/>
      <c r="DJ15" s="27"/>
      <c r="DK15" s="27"/>
      <c r="DL15" s="27"/>
      <c r="DM15" s="27"/>
      <c r="DN15" s="27"/>
      <c r="DO15" s="27"/>
      <c r="DP15" s="27"/>
      <c r="DQ15" s="27"/>
      <c r="DR15" s="27"/>
      <c r="DS15" s="27"/>
      <c r="DT15" s="27"/>
      <c r="DU15" s="27"/>
      <c r="DV15" s="27"/>
      <c r="DW15" s="27"/>
      <c r="DX15" s="27"/>
      <c r="DY15" s="27"/>
      <c r="DZ15" s="27"/>
      <c r="EA15" s="27"/>
      <c r="EB15" s="27"/>
      <c r="EC15" s="27"/>
      <c r="ED15" s="27"/>
      <c r="EE15" s="27"/>
      <c r="EF15" s="27"/>
      <c r="EG15" s="27"/>
      <c r="EH15" s="27"/>
      <c r="EI15" s="27"/>
      <c r="EJ15" s="27"/>
      <c r="EK15" s="27"/>
      <c r="EL15" s="27"/>
      <c r="EM15" s="27"/>
      <c r="EN15" s="27"/>
      <c r="EO15" s="27"/>
      <c r="EP15" s="27"/>
      <c r="EQ15" s="27"/>
      <c r="ER15" s="27"/>
      <c r="ES15" s="27"/>
      <c r="ET15" s="27"/>
      <c r="EU15" s="27"/>
      <c r="EV15" s="27"/>
      <c r="EW15" s="27"/>
      <c r="EX15" s="27"/>
      <c r="EY15" s="27"/>
      <c r="EZ15" s="27"/>
      <c r="FA15" s="27"/>
      <c r="FB15" s="27"/>
      <c r="FC15" s="27"/>
      <c r="FD15" s="27"/>
      <c r="FE15" s="27"/>
      <c r="FF15" s="27"/>
      <c r="FG15" s="27"/>
      <c r="FH15" s="27"/>
      <c r="FI15" s="27"/>
      <c r="FJ15" s="27"/>
      <c r="FK15" s="27"/>
      <c r="FL15" s="27"/>
      <c r="FM15" s="27"/>
      <c r="FN15" s="27"/>
      <c r="FO15" s="27"/>
      <c r="FP15" s="27"/>
      <c r="FQ15" s="27"/>
      <c r="FR15" s="27"/>
      <c r="FS15" s="27"/>
      <c r="FT15" s="27"/>
      <c r="FU15" s="27"/>
      <c r="FV15" s="27"/>
      <c r="FW15" s="27"/>
      <c r="FX15" s="27"/>
      <c r="FY15" s="27"/>
      <c r="FZ15" s="27"/>
      <c r="GA15" s="27"/>
      <c r="GB15" s="27"/>
      <c r="GC15" s="27"/>
      <c r="GD15" s="27"/>
      <c r="GE15" s="27"/>
      <c r="GF15" s="27"/>
      <c r="GG15" s="27"/>
      <c r="GH15" s="27"/>
      <c r="GI15" s="27"/>
      <c r="GJ15" s="27"/>
      <c r="GK15" s="27"/>
      <c r="GL15" s="27"/>
      <c r="GM15" s="27"/>
      <c r="GN15" s="27"/>
      <c r="GO15" s="27"/>
      <c r="GP15" s="27"/>
      <c r="GQ15" s="27"/>
      <c r="GR15" s="27"/>
      <c r="GS15" s="27"/>
      <c r="GT15" s="27"/>
      <c r="GU15" s="27"/>
      <c r="GV15" s="27"/>
      <c r="GW15" s="27"/>
      <c r="GX15" s="27"/>
      <c r="GY15" s="27"/>
      <c r="GZ15" s="27"/>
      <c r="HA15" s="27"/>
      <c r="HB15" s="27"/>
      <c r="HC15" s="27"/>
      <c r="HD15" s="27"/>
      <c r="HE15" s="27"/>
      <c r="HF15" s="27"/>
      <c r="HG15" s="27"/>
      <c r="HH15" s="27"/>
      <c r="HI15" s="27"/>
      <c r="HJ15" s="27"/>
      <c r="HK15" s="27"/>
      <c r="HL15" s="27"/>
      <c r="HM15" s="27"/>
      <c r="HN15" s="27"/>
      <c r="HO15" s="27"/>
      <c r="HP15" s="27"/>
      <c r="HQ15" s="27"/>
      <c r="HR15" s="27"/>
      <c r="HS15" s="27"/>
      <c r="HT15" s="27"/>
      <c r="HU15" s="27"/>
      <c r="HV15" s="27"/>
      <c r="HW15" s="27"/>
      <c r="HX15" s="27"/>
      <c r="HY15" s="27"/>
      <c r="HZ15" s="27"/>
      <c r="IA15" s="27"/>
      <c r="IB15" s="27"/>
      <c r="IC15" s="27"/>
      <c r="ID15" s="27"/>
      <c r="IE15" s="27"/>
      <c r="IF15" s="27"/>
      <c r="IG15" s="27"/>
      <c r="IH15" s="27"/>
      <c r="II15" s="27"/>
      <c r="IJ15" s="27"/>
      <c r="IK15" s="27"/>
      <c r="IL15" s="27"/>
      <c r="IM15" s="27"/>
      <c r="IN15" s="27"/>
      <c r="IO15" s="27"/>
      <c r="IP15" s="27"/>
      <c r="IQ15" s="27"/>
      <c r="IR15" s="27"/>
      <c r="IS15" s="27"/>
      <c r="IT15" s="27"/>
      <c r="IU15" s="27"/>
      <c r="IV15" s="27"/>
      <c r="IW15" s="27"/>
    </row>
    <row r="16" spans="1:257" ht="12.75" customHeight="1" x14ac:dyDescent="0.3">
      <c r="A16" s="7"/>
      <c r="B16" s="6"/>
      <c r="C16" s="5"/>
      <c r="D16" s="4"/>
      <c r="E16" s="4"/>
      <c r="F16" s="4"/>
      <c r="G16" s="4"/>
      <c r="H16" s="3"/>
      <c r="I16" s="28"/>
    </row>
    <row r="17" spans="1:23" ht="17.100000000000001" customHeight="1" x14ac:dyDescent="0.25">
      <c r="A17" s="29">
        <v>1</v>
      </c>
      <c r="B17" s="30">
        <v>2</v>
      </c>
      <c r="C17" s="30">
        <v>3</v>
      </c>
      <c r="D17" s="30">
        <v>4</v>
      </c>
      <c r="E17" s="30">
        <v>5</v>
      </c>
      <c r="F17" s="30">
        <v>6</v>
      </c>
      <c r="G17" s="30">
        <v>7</v>
      </c>
      <c r="H17" s="30">
        <v>8</v>
      </c>
    </row>
    <row r="18" spans="1:23" ht="31.9" customHeight="1" x14ac:dyDescent="0.25">
      <c r="A18" s="31"/>
      <c r="B18" s="32" t="s">
        <v>15</v>
      </c>
      <c r="C18" s="33"/>
      <c r="D18" s="34"/>
      <c r="E18" s="34"/>
      <c r="F18" s="35"/>
      <c r="G18" s="34"/>
      <c r="H18" s="36">
        <f>H19+H32+H364+H409+H425+H614+H671+H722+H761</f>
        <v>5756556.6000000006</v>
      </c>
      <c r="U18" s="37"/>
      <c r="V18" s="37"/>
      <c r="W18" s="38"/>
    </row>
    <row r="19" spans="1:23" ht="31.9" customHeight="1" x14ac:dyDescent="0.25">
      <c r="A19" s="31">
        <v>1</v>
      </c>
      <c r="B19" s="32" t="s">
        <v>16</v>
      </c>
      <c r="C19" s="33">
        <v>901</v>
      </c>
      <c r="D19" s="34"/>
      <c r="E19" s="34"/>
      <c r="F19" s="35"/>
      <c r="G19" s="34"/>
      <c r="H19" s="36">
        <f>H20</f>
        <v>7483.9</v>
      </c>
      <c r="V19" s="38"/>
      <c r="W19" s="38"/>
    </row>
    <row r="20" spans="1:23" ht="17.850000000000001" customHeight="1" x14ac:dyDescent="0.25">
      <c r="A20" s="31"/>
      <c r="B20" s="39" t="s">
        <v>17</v>
      </c>
      <c r="C20" s="40">
        <v>901</v>
      </c>
      <c r="D20" s="41" t="s">
        <v>18</v>
      </c>
      <c r="E20" s="41" t="s">
        <v>19</v>
      </c>
      <c r="F20" s="42"/>
      <c r="G20" s="41"/>
      <c r="H20" s="43">
        <f>H21</f>
        <v>7483.9</v>
      </c>
      <c r="V20" s="37"/>
      <c r="W20" s="38"/>
    </row>
    <row r="21" spans="1:23" ht="45.75" customHeight="1" x14ac:dyDescent="0.25">
      <c r="A21" s="31"/>
      <c r="B21" s="39" t="s">
        <v>20</v>
      </c>
      <c r="C21" s="40">
        <v>901</v>
      </c>
      <c r="D21" s="41" t="s">
        <v>18</v>
      </c>
      <c r="E21" s="41" t="s">
        <v>21</v>
      </c>
      <c r="F21" s="42"/>
      <c r="G21" s="41"/>
      <c r="H21" s="43">
        <f>H22</f>
        <v>7483.9</v>
      </c>
    </row>
    <row r="22" spans="1:23" ht="17.850000000000001" customHeight="1" x14ac:dyDescent="0.25">
      <c r="A22" s="31"/>
      <c r="B22" s="39" t="s">
        <v>22</v>
      </c>
      <c r="C22" s="40">
        <v>901</v>
      </c>
      <c r="D22" s="41" t="s">
        <v>18</v>
      </c>
      <c r="E22" s="41" t="s">
        <v>21</v>
      </c>
      <c r="F22" s="42" t="s">
        <v>23</v>
      </c>
      <c r="G22" s="41"/>
      <c r="H22" s="43">
        <f>H23+H27</f>
        <v>7483.9</v>
      </c>
    </row>
    <row r="23" spans="1:23" ht="17.850000000000001" customHeight="1" x14ac:dyDescent="0.25">
      <c r="A23" s="31"/>
      <c r="B23" s="39" t="s">
        <v>24</v>
      </c>
      <c r="C23" s="40">
        <v>901</v>
      </c>
      <c r="D23" s="41" t="s">
        <v>18</v>
      </c>
      <c r="E23" s="41" t="s">
        <v>21</v>
      </c>
      <c r="F23" s="42" t="s">
        <v>25</v>
      </c>
      <c r="G23" s="41"/>
      <c r="H23" s="43">
        <f>H24</f>
        <v>2757.9</v>
      </c>
    </row>
    <row r="24" spans="1:23" ht="17.850000000000001" customHeight="1" x14ac:dyDescent="0.25">
      <c r="A24" s="31"/>
      <c r="B24" s="39" t="s">
        <v>26</v>
      </c>
      <c r="C24" s="40">
        <v>901</v>
      </c>
      <c r="D24" s="41" t="s">
        <v>18</v>
      </c>
      <c r="E24" s="41" t="s">
        <v>21</v>
      </c>
      <c r="F24" s="42" t="s">
        <v>27</v>
      </c>
      <c r="G24" s="41"/>
      <c r="H24" s="43">
        <f>H25+H26</f>
        <v>2757.9</v>
      </c>
    </row>
    <row r="25" spans="1:23" ht="45.75" customHeight="1" x14ac:dyDescent="0.25">
      <c r="A25" s="31"/>
      <c r="B25" s="44" t="s">
        <v>28</v>
      </c>
      <c r="C25" s="40">
        <v>901</v>
      </c>
      <c r="D25" s="41" t="s">
        <v>18</v>
      </c>
      <c r="E25" s="41" t="s">
        <v>21</v>
      </c>
      <c r="F25" s="42" t="s">
        <v>27</v>
      </c>
      <c r="G25" s="41" t="s">
        <v>29</v>
      </c>
      <c r="H25" s="43">
        <f>2757.9-9.1</f>
        <v>2748.8</v>
      </c>
    </row>
    <row r="26" spans="1:23" ht="20.100000000000001" customHeight="1" x14ac:dyDescent="0.25">
      <c r="A26" s="31"/>
      <c r="B26" s="39" t="s">
        <v>30</v>
      </c>
      <c r="C26" s="40">
        <v>901</v>
      </c>
      <c r="D26" s="41" t="s">
        <v>18</v>
      </c>
      <c r="E26" s="41" t="s">
        <v>21</v>
      </c>
      <c r="F26" s="42" t="s">
        <v>27</v>
      </c>
      <c r="G26" s="41" t="s">
        <v>31</v>
      </c>
      <c r="H26" s="43">
        <v>9.1</v>
      </c>
    </row>
    <row r="27" spans="1:23" ht="17.850000000000001" customHeight="1" x14ac:dyDescent="0.25">
      <c r="A27" s="31"/>
      <c r="B27" s="39" t="s">
        <v>32</v>
      </c>
      <c r="C27" s="40">
        <v>901</v>
      </c>
      <c r="D27" s="41" t="s">
        <v>18</v>
      </c>
      <c r="E27" s="41" t="s">
        <v>21</v>
      </c>
      <c r="F27" s="42" t="s">
        <v>33</v>
      </c>
      <c r="G27" s="41"/>
      <c r="H27" s="43">
        <f>H28</f>
        <v>4726</v>
      </c>
    </row>
    <row r="28" spans="1:23" ht="17.850000000000001" customHeight="1" x14ac:dyDescent="0.25">
      <c r="A28" s="31"/>
      <c r="B28" s="39" t="s">
        <v>26</v>
      </c>
      <c r="C28" s="40">
        <v>901</v>
      </c>
      <c r="D28" s="41" t="s">
        <v>18</v>
      </c>
      <c r="E28" s="41" t="s">
        <v>21</v>
      </c>
      <c r="F28" s="42" t="s">
        <v>34</v>
      </c>
      <c r="G28" s="41"/>
      <c r="H28" s="43">
        <f>H29+H30+H31</f>
        <v>4726</v>
      </c>
    </row>
    <row r="29" spans="1:23" ht="48" customHeight="1" x14ac:dyDescent="0.25">
      <c r="A29" s="31"/>
      <c r="B29" s="44" t="s">
        <v>28</v>
      </c>
      <c r="C29" s="40">
        <v>901</v>
      </c>
      <c r="D29" s="41" t="s">
        <v>18</v>
      </c>
      <c r="E29" s="41" t="s">
        <v>21</v>
      </c>
      <c r="F29" s="42" t="s">
        <v>34</v>
      </c>
      <c r="G29" s="41" t="s">
        <v>29</v>
      </c>
      <c r="H29" s="43">
        <f>3281</f>
        <v>3281</v>
      </c>
    </row>
    <row r="30" spans="1:23" ht="31.7" customHeight="1" x14ac:dyDescent="0.25">
      <c r="A30" s="31"/>
      <c r="B30" s="39" t="s">
        <v>35</v>
      </c>
      <c r="C30" s="40">
        <v>901</v>
      </c>
      <c r="D30" s="41" t="s">
        <v>18</v>
      </c>
      <c r="E30" s="41" t="s">
        <v>21</v>
      </c>
      <c r="F30" s="42" t="s">
        <v>34</v>
      </c>
      <c r="G30" s="41" t="s">
        <v>36</v>
      </c>
      <c r="H30" s="43">
        <f>1441.5</f>
        <v>1441.5</v>
      </c>
    </row>
    <row r="31" spans="1:23" ht="21.75" customHeight="1" x14ac:dyDescent="0.25">
      <c r="A31" s="31"/>
      <c r="B31" s="39" t="s">
        <v>37</v>
      </c>
      <c r="C31" s="40">
        <v>901</v>
      </c>
      <c r="D31" s="41" t="s">
        <v>18</v>
      </c>
      <c r="E31" s="41" t="s">
        <v>21</v>
      </c>
      <c r="F31" s="42" t="s">
        <v>34</v>
      </c>
      <c r="G31" s="41" t="s">
        <v>38</v>
      </c>
      <c r="H31" s="43">
        <f>3.5</f>
        <v>3.5</v>
      </c>
    </row>
    <row r="32" spans="1:23" ht="31.7" customHeight="1" x14ac:dyDescent="0.25">
      <c r="A32" s="31">
        <v>2</v>
      </c>
      <c r="B32" s="32" t="s">
        <v>39</v>
      </c>
      <c r="C32" s="33">
        <v>902</v>
      </c>
      <c r="D32" s="34"/>
      <c r="E32" s="34"/>
      <c r="F32" s="35"/>
      <c r="G32" s="34"/>
      <c r="H32" s="36">
        <f>H33+H133+H139+H177+H278+H308+H292+H240+H272+H301+H350+H358</f>
        <v>1408430.5</v>
      </c>
    </row>
    <row r="33" spans="1:8" ht="18.75" customHeight="1" x14ac:dyDescent="0.25">
      <c r="A33" s="31"/>
      <c r="B33" s="39" t="s">
        <v>17</v>
      </c>
      <c r="C33" s="40">
        <v>902</v>
      </c>
      <c r="D33" s="41" t="s">
        <v>18</v>
      </c>
      <c r="E33" s="41" t="s">
        <v>19</v>
      </c>
      <c r="F33" s="42"/>
      <c r="G33" s="41"/>
      <c r="H33" s="43">
        <f>H34+H39+H82+H77</f>
        <v>322305.50000000006</v>
      </c>
    </row>
    <row r="34" spans="1:8" ht="31.7" customHeight="1" x14ac:dyDescent="0.25">
      <c r="A34" s="31"/>
      <c r="B34" s="39" t="s">
        <v>40</v>
      </c>
      <c r="C34" s="40">
        <v>902</v>
      </c>
      <c r="D34" s="41" t="s">
        <v>18</v>
      </c>
      <c r="E34" s="41" t="s">
        <v>41</v>
      </c>
      <c r="F34" s="42"/>
      <c r="G34" s="41"/>
      <c r="H34" s="43">
        <f>H35</f>
        <v>3185.8</v>
      </c>
    </row>
    <row r="35" spans="1:8" ht="18.75" customHeight="1" x14ac:dyDescent="0.25">
      <c r="A35" s="31"/>
      <c r="B35" s="39" t="s">
        <v>42</v>
      </c>
      <c r="C35" s="40">
        <v>902</v>
      </c>
      <c r="D35" s="41" t="s">
        <v>18</v>
      </c>
      <c r="E35" s="41" t="s">
        <v>41</v>
      </c>
      <c r="F35" s="42" t="s">
        <v>43</v>
      </c>
      <c r="G35" s="41"/>
      <c r="H35" s="43">
        <f>H36</f>
        <v>3185.8</v>
      </c>
    </row>
    <row r="36" spans="1:8" ht="19.5" customHeight="1" x14ac:dyDescent="0.25">
      <c r="A36" s="31"/>
      <c r="B36" s="39" t="s">
        <v>44</v>
      </c>
      <c r="C36" s="40">
        <v>902</v>
      </c>
      <c r="D36" s="41" t="s">
        <v>18</v>
      </c>
      <c r="E36" s="41" t="s">
        <v>41</v>
      </c>
      <c r="F36" s="42" t="s">
        <v>45</v>
      </c>
      <c r="G36" s="41"/>
      <c r="H36" s="43">
        <f>H37</f>
        <v>3185.8</v>
      </c>
    </row>
    <row r="37" spans="1:8" ht="18" customHeight="1" x14ac:dyDescent="0.25">
      <c r="A37" s="31"/>
      <c r="B37" s="39" t="s">
        <v>26</v>
      </c>
      <c r="C37" s="40">
        <v>902</v>
      </c>
      <c r="D37" s="41" t="s">
        <v>18</v>
      </c>
      <c r="E37" s="41" t="s">
        <v>41</v>
      </c>
      <c r="F37" s="42" t="s">
        <v>46</v>
      </c>
      <c r="G37" s="41"/>
      <c r="H37" s="43">
        <f>H38</f>
        <v>3185.8</v>
      </c>
    </row>
    <row r="38" spans="1:8" ht="47.45" customHeight="1" x14ac:dyDescent="0.25">
      <c r="A38" s="31"/>
      <c r="B38" s="44" t="s">
        <v>28</v>
      </c>
      <c r="C38" s="40">
        <v>902</v>
      </c>
      <c r="D38" s="41" t="s">
        <v>18</v>
      </c>
      <c r="E38" s="41" t="s">
        <v>41</v>
      </c>
      <c r="F38" s="42" t="s">
        <v>46</v>
      </c>
      <c r="G38" s="41" t="s">
        <v>29</v>
      </c>
      <c r="H38" s="43">
        <f>3185.8</f>
        <v>3185.8</v>
      </c>
    </row>
    <row r="39" spans="1:8" ht="48.2" customHeight="1" x14ac:dyDescent="0.25">
      <c r="A39" s="31"/>
      <c r="B39" s="39" t="s">
        <v>47</v>
      </c>
      <c r="C39" s="40">
        <v>902</v>
      </c>
      <c r="D39" s="41" t="s">
        <v>18</v>
      </c>
      <c r="E39" s="41" t="s">
        <v>48</v>
      </c>
      <c r="F39" s="42"/>
      <c r="G39" s="41"/>
      <c r="H39" s="43">
        <f>H44+H40+H73</f>
        <v>171105.30000000005</v>
      </c>
    </row>
    <row r="40" spans="1:8" ht="50.1" customHeight="1" x14ac:dyDescent="0.25">
      <c r="A40" s="31"/>
      <c r="B40" s="39" t="s">
        <v>49</v>
      </c>
      <c r="C40" s="40">
        <v>902</v>
      </c>
      <c r="D40" s="41" t="s">
        <v>18</v>
      </c>
      <c r="E40" s="41" t="s">
        <v>48</v>
      </c>
      <c r="F40" s="42" t="s">
        <v>50</v>
      </c>
      <c r="G40" s="41"/>
      <c r="H40" s="43">
        <f>H41</f>
        <v>6500</v>
      </c>
    </row>
    <row r="41" spans="1:8" ht="17.25" customHeight="1" x14ac:dyDescent="0.25">
      <c r="A41" s="31"/>
      <c r="B41" s="39" t="s">
        <v>51</v>
      </c>
      <c r="C41" s="40">
        <v>902</v>
      </c>
      <c r="D41" s="41" t="s">
        <v>18</v>
      </c>
      <c r="E41" s="41" t="s">
        <v>48</v>
      </c>
      <c r="F41" s="42" t="s">
        <v>52</v>
      </c>
      <c r="G41" s="41"/>
      <c r="H41" s="43">
        <f>H42</f>
        <v>6500</v>
      </c>
    </row>
    <row r="42" spans="1:8" ht="31.7" customHeight="1" x14ac:dyDescent="0.25">
      <c r="A42" s="31"/>
      <c r="B42" s="39" t="s">
        <v>53</v>
      </c>
      <c r="C42" s="40">
        <v>902</v>
      </c>
      <c r="D42" s="41" t="s">
        <v>18</v>
      </c>
      <c r="E42" s="41" t="s">
        <v>48</v>
      </c>
      <c r="F42" s="42" t="s">
        <v>54</v>
      </c>
      <c r="G42" s="41"/>
      <c r="H42" s="43">
        <f>H43</f>
        <v>6500</v>
      </c>
    </row>
    <row r="43" spans="1:8" ht="31.7" customHeight="1" x14ac:dyDescent="0.25">
      <c r="A43" s="31"/>
      <c r="B43" s="39" t="s">
        <v>35</v>
      </c>
      <c r="C43" s="40">
        <v>902</v>
      </c>
      <c r="D43" s="41" t="s">
        <v>18</v>
      </c>
      <c r="E43" s="41" t="s">
        <v>48</v>
      </c>
      <c r="F43" s="42" t="s">
        <v>54</v>
      </c>
      <c r="G43" s="41" t="s">
        <v>36</v>
      </c>
      <c r="H43" s="43">
        <f>6500</f>
        <v>6500</v>
      </c>
    </row>
    <row r="44" spans="1:8" ht="18.75" customHeight="1" x14ac:dyDescent="0.25">
      <c r="A44" s="31"/>
      <c r="B44" s="39" t="s">
        <v>55</v>
      </c>
      <c r="C44" s="40">
        <v>902</v>
      </c>
      <c r="D44" s="41" t="s">
        <v>18</v>
      </c>
      <c r="E44" s="41" t="s">
        <v>48</v>
      </c>
      <c r="F44" s="42" t="s">
        <v>56</v>
      </c>
      <c r="G44" s="41"/>
      <c r="H44" s="43">
        <f>H45+H63</f>
        <v>164353.30000000005</v>
      </c>
    </row>
    <row r="45" spans="1:8" ht="16.5" customHeight="1" x14ac:dyDescent="0.25">
      <c r="A45" s="31"/>
      <c r="B45" s="39" t="s">
        <v>57</v>
      </c>
      <c r="C45" s="40">
        <v>902</v>
      </c>
      <c r="D45" s="41" t="s">
        <v>18</v>
      </c>
      <c r="E45" s="41" t="s">
        <v>48</v>
      </c>
      <c r="F45" s="42" t="s">
        <v>58</v>
      </c>
      <c r="G45" s="41"/>
      <c r="H45" s="43">
        <f>H46+H51+H57+H60+H55</f>
        <v>157016.80000000005</v>
      </c>
    </row>
    <row r="46" spans="1:8" ht="18" customHeight="1" x14ac:dyDescent="0.25">
      <c r="A46" s="31"/>
      <c r="B46" s="39" t="s">
        <v>26</v>
      </c>
      <c r="C46" s="40">
        <v>902</v>
      </c>
      <c r="D46" s="41" t="s">
        <v>18</v>
      </c>
      <c r="E46" s="41" t="s">
        <v>48</v>
      </c>
      <c r="F46" s="42" t="s">
        <v>59</v>
      </c>
      <c r="G46" s="41"/>
      <c r="H46" s="43">
        <f>H47+H48+H49+H50</f>
        <v>151704.20000000004</v>
      </c>
    </row>
    <row r="47" spans="1:8" ht="49.5" customHeight="1" x14ac:dyDescent="0.25">
      <c r="A47" s="31"/>
      <c r="B47" s="44" t="s">
        <v>28</v>
      </c>
      <c r="C47" s="40">
        <v>902</v>
      </c>
      <c r="D47" s="41" t="s">
        <v>18</v>
      </c>
      <c r="E47" s="41" t="s">
        <v>48</v>
      </c>
      <c r="F47" s="42" t="s">
        <v>59</v>
      </c>
      <c r="G47" s="41" t="s">
        <v>29</v>
      </c>
      <c r="H47" s="43">
        <f>145756.1+416+200+500</f>
        <v>146872.1</v>
      </c>
    </row>
    <row r="48" spans="1:8" ht="31.7" customHeight="1" x14ac:dyDescent="0.25">
      <c r="A48" s="31"/>
      <c r="B48" s="39" t="s">
        <v>35</v>
      </c>
      <c r="C48" s="40">
        <v>902</v>
      </c>
      <c r="D48" s="41" t="s">
        <v>18</v>
      </c>
      <c r="E48" s="41" t="s">
        <v>48</v>
      </c>
      <c r="F48" s="42" t="s">
        <v>59</v>
      </c>
      <c r="G48" s="41" t="s">
        <v>36</v>
      </c>
      <c r="H48" s="43">
        <f>4556.9-200-14.2</f>
        <v>4342.7</v>
      </c>
    </row>
    <row r="49" spans="1:22" ht="17.25" customHeight="1" x14ac:dyDescent="0.25">
      <c r="A49" s="31"/>
      <c r="B49" s="39" t="s">
        <v>30</v>
      </c>
      <c r="C49" s="40">
        <v>902</v>
      </c>
      <c r="D49" s="41" t="s">
        <v>18</v>
      </c>
      <c r="E49" s="41" t="s">
        <v>48</v>
      </c>
      <c r="F49" s="42" t="s">
        <v>59</v>
      </c>
      <c r="G49" s="41" t="s">
        <v>31</v>
      </c>
      <c r="H49" s="43">
        <v>14.2</v>
      </c>
    </row>
    <row r="50" spans="1:22" ht="18.75" customHeight="1" x14ac:dyDescent="0.25">
      <c r="A50" s="31"/>
      <c r="B50" s="39" t="s">
        <v>37</v>
      </c>
      <c r="C50" s="40">
        <v>902</v>
      </c>
      <c r="D50" s="41" t="s">
        <v>18</v>
      </c>
      <c r="E50" s="41" t="s">
        <v>48</v>
      </c>
      <c r="F50" s="42" t="s">
        <v>59</v>
      </c>
      <c r="G50" s="41" t="s">
        <v>38</v>
      </c>
      <c r="H50" s="43">
        <f>455.2+20</f>
        <v>475.2</v>
      </c>
    </row>
    <row r="51" spans="1:22" ht="15.75" customHeight="1" x14ac:dyDescent="0.25">
      <c r="A51" s="31"/>
      <c r="B51" s="39" t="s">
        <v>60</v>
      </c>
      <c r="C51" s="40">
        <v>902</v>
      </c>
      <c r="D51" s="41" t="s">
        <v>18</v>
      </c>
      <c r="E51" s="41" t="s">
        <v>48</v>
      </c>
      <c r="F51" s="42" t="s">
        <v>61</v>
      </c>
      <c r="G51" s="41"/>
      <c r="H51" s="43">
        <f>H52</f>
        <v>3350</v>
      </c>
    </row>
    <row r="52" spans="1:22" ht="18" customHeight="1" x14ac:dyDescent="0.25">
      <c r="A52" s="31"/>
      <c r="B52" s="39" t="s">
        <v>26</v>
      </c>
      <c r="C52" s="40">
        <v>902</v>
      </c>
      <c r="D52" s="41" t="s">
        <v>18</v>
      </c>
      <c r="E52" s="41" t="s">
        <v>48</v>
      </c>
      <c r="F52" s="42" t="s">
        <v>62</v>
      </c>
      <c r="G52" s="41"/>
      <c r="H52" s="43">
        <f>H53+H54</f>
        <v>3350</v>
      </c>
    </row>
    <row r="53" spans="1:22" ht="50.25" customHeight="1" x14ac:dyDescent="0.25">
      <c r="A53" s="31"/>
      <c r="B53" s="44" t="s">
        <v>28</v>
      </c>
      <c r="C53" s="40">
        <v>902</v>
      </c>
      <c r="D53" s="41" t="s">
        <v>18</v>
      </c>
      <c r="E53" s="41" t="s">
        <v>48</v>
      </c>
      <c r="F53" s="42" t="s">
        <v>62</v>
      </c>
      <c r="G53" s="41" t="s">
        <v>29</v>
      </c>
      <c r="H53" s="43">
        <f>3320</f>
        <v>3320</v>
      </c>
    </row>
    <row r="54" spans="1:22" ht="32.25" customHeight="1" x14ac:dyDescent="0.25">
      <c r="A54" s="31"/>
      <c r="B54" s="39" t="s">
        <v>35</v>
      </c>
      <c r="C54" s="40">
        <v>902</v>
      </c>
      <c r="D54" s="41" t="s">
        <v>18</v>
      </c>
      <c r="E54" s="41" t="s">
        <v>48</v>
      </c>
      <c r="F54" s="42" t="s">
        <v>62</v>
      </c>
      <c r="G54" s="41" t="s">
        <v>36</v>
      </c>
      <c r="H54" s="43">
        <f>30</f>
        <v>30</v>
      </c>
    </row>
    <row r="55" spans="1:22" ht="16.5" customHeight="1" x14ac:dyDescent="0.25">
      <c r="A55" s="31"/>
      <c r="B55" s="39" t="s">
        <v>63</v>
      </c>
      <c r="C55" s="40">
        <v>902</v>
      </c>
      <c r="D55" s="41" t="s">
        <v>18</v>
      </c>
      <c r="E55" s="41" t="s">
        <v>48</v>
      </c>
      <c r="F55" s="42" t="s">
        <v>64</v>
      </c>
      <c r="G55" s="41"/>
      <c r="H55" s="43">
        <f>H56</f>
        <v>0.1</v>
      </c>
    </row>
    <row r="56" spans="1:22" ht="30.75" customHeight="1" x14ac:dyDescent="0.25">
      <c r="A56" s="31"/>
      <c r="B56" s="39" t="s">
        <v>35</v>
      </c>
      <c r="C56" s="40">
        <v>902</v>
      </c>
      <c r="D56" s="41" t="s">
        <v>18</v>
      </c>
      <c r="E56" s="41" t="s">
        <v>48</v>
      </c>
      <c r="F56" s="42" t="s">
        <v>64</v>
      </c>
      <c r="G56" s="41" t="s">
        <v>36</v>
      </c>
      <c r="H56" s="43">
        <f>0.1</f>
        <v>0.1</v>
      </c>
    </row>
    <row r="57" spans="1:22" ht="31.5" customHeight="1" x14ac:dyDescent="0.25">
      <c r="A57" s="31"/>
      <c r="B57" s="39" t="s">
        <v>65</v>
      </c>
      <c r="C57" s="40">
        <v>902</v>
      </c>
      <c r="D57" s="41" t="s">
        <v>18</v>
      </c>
      <c r="E57" s="41" t="s">
        <v>48</v>
      </c>
      <c r="F57" s="42" t="s">
        <v>66</v>
      </c>
      <c r="G57" s="41"/>
      <c r="H57" s="43">
        <f>H58+H59</f>
        <v>979.69999999999993</v>
      </c>
    </row>
    <row r="58" spans="1:22" ht="49.5" customHeight="1" x14ac:dyDescent="0.25">
      <c r="A58" s="31"/>
      <c r="B58" s="44" t="s">
        <v>28</v>
      </c>
      <c r="C58" s="40">
        <v>902</v>
      </c>
      <c r="D58" s="41" t="s">
        <v>18</v>
      </c>
      <c r="E58" s="41" t="s">
        <v>48</v>
      </c>
      <c r="F58" s="42" t="s">
        <v>66</v>
      </c>
      <c r="G58" s="41" t="s">
        <v>29</v>
      </c>
      <c r="H58" s="43">
        <f>690.3+208.4</f>
        <v>898.69999999999993</v>
      </c>
      <c r="V58" s="45"/>
    </row>
    <row r="59" spans="1:22" ht="36" customHeight="1" x14ac:dyDescent="0.25">
      <c r="A59" s="31"/>
      <c r="B59" s="39" t="s">
        <v>35</v>
      </c>
      <c r="C59" s="40">
        <v>902</v>
      </c>
      <c r="D59" s="41" t="s">
        <v>18</v>
      </c>
      <c r="E59" s="41" t="s">
        <v>48</v>
      </c>
      <c r="F59" s="42" t="s">
        <v>66</v>
      </c>
      <c r="G59" s="41" t="s">
        <v>36</v>
      </c>
      <c r="H59" s="43">
        <f>81</f>
        <v>81</v>
      </c>
    </row>
    <row r="60" spans="1:22" ht="62.25" customHeight="1" x14ac:dyDescent="0.25">
      <c r="A60" s="31"/>
      <c r="B60" s="39" t="s">
        <v>67</v>
      </c>
      <c r="C60" s="40">
        <v>902</v>
      </c>
      <c r="D60" s="41" t="s">
        <v>18</v>
      </c>
      <c r="E60" s="41" t="s">
        <v>48</v>
      </c>
      <c r="F60" s="42" t="s">
        <v>68</v>
      </c>
      <c r="G60" s="41"/>
      <c r="H60" s="43">
        <f>H61+H62</f>
        <v>982.80000000000007</v>
      </c>
    </row>
    <row r="61" spans="1:22" ht="50.25" customHeight="1" x14ac:dyDescent="0.25">
      <c r="A61" s="31"/>
      <c r="B61" s="44" t="s">
        <v>28</v>
      </c>
      <c r="C61" s="40">
        <v>902</v>
      </c>
      <c r="D61" s="41" t="s">
        <v>18</v>
      </c>
      <c r="E61" s="41" t="s">
        <v>48</v>
      </c>
      <c r="F61" s="42" t="s">
        <v>68</v>
      </c>
      <c r="G61" s="41" t="s">
        <v>29</v>
      </c>
      <c r="H61" s="43">
        <f>690.2+208.4</f>
        <v>898.6</v>
      </c>
    </row>
    <row r="62" spans="1:22" ht="31.5" customHeight="1" x14ac:dyDescent="0.25">
      <c r="A62" s="31"/>
      <c r="B62" s="39" t="s">
        <v>35</v>
      </c>
      <c r="C62" s="40">
        <v>902</v>
      </c>
      <c r="D62" s="41" t="s">
        <v>18</v>
      </c>
      <c r="E62" s="41" t="s">
        <v>48</v>
      </c>
      <c r="F62" s="42" t="s">
        <v>68</v>
      </c>
      <c r="G62" s="41" t="s">
        <v>36</v>
      </c>
      <c r="H62" s="43">
        <f>84.2</f>
        <v>84.2</v>
      </c>
    </row>
    <row r="63" spans="1:22" ht="20.25" customHeight="1" x14ac:dyDescent="0.25">
      <c r="A63" s="31"/>
      <c r="B63" s="44" t="s">
        <v>69</v>
      </c>
      <c r="C63" s="40">
        <v>902</v>
      </c>
      <c r="D63" s="41" t="s">
        <v>18</v>
      </c>
      <c r="E63" s="41" t="s">
        <v>48</v>
      </c>
      <c r="F63" s="42" t="s">
        <v>70</v>
      </c>
      <c r="G63" s="41"/>
      <c r="H63" s="43">
        <f>H64+H67+H70</f>
        <v>7336.5</v>
      </c>
    </row>
    <row r="64" spans="1:22" ht="96" customHeight="1" x14ac:dyDescent="0.25">
      <c r="A64" s="31"/>
      <c r="B64" s="39" t="s">
        <v>71</v>
      </c>
      <c r="C64" s="40">
        <v>902</v>
      </c>
      <c r="D64" s="41" t="s">
        <v>18</v>
      </c>
      <c r="E64" s="41" t="s">
        <v>48</v>
      </c>
      <c r="F64" s="42" t="s">
        <v>72</v>
      </c>
      <c r="G64" s="41"/>
      <c r="H64" s="43">
        <f>H65+H66</f>
        <v>982.6</v>
      </c>
    </row>
    <row r="65" spans="1:8" ht="50.25" customHeight="1" x14ac:dyDescent="0.25">
      <c r="A65" s="31"/>
      <c r="B65" s="44" t="s">
        <v>28</v>
      </c>
      <c r="C65" s="40">
        <v>902</v>
      </c>
      <c r="D65" s="41" t="s">
        <v>18</v>
      </c>
      <c r="E65" s="41" t="s">
        <v>48</v>
      </c>
      <c r="F65" s="42" t="s">
        <v>72</v>
      </c>
      <c r="G65" s="41" t="s">
        <v>29</v>
      </c>
      <c r="H65" s="43">
        <f>690+208.4</f>
        <v>898.4</v>
      </c>
    </row>
    <row r="66" spans="1:8" ht="34.5" customHeight="1" x14ac:dyDescent="0.25">
      <c r="A66" s="31"/>
      <c r="B66" s="39" t="s">
        <v>35</v>
      </c>
      <c r="C66" s="40">
        <v>902</v>
      </c>
      <c r="D66" s="41" t="s">
        <v>18</v>
      </c>
      <c r="E66" s="41" t="s">
        <v>48</v>
      </c>
      <c r="F66" s="42" t="s">
        <v>72</v>
      </c>
      <c r="G66" s="41" t="s">
        <v>36</v>
      </c>
      <c r="H66" s="43">
        <v>84.2</v>
      </c>
    </row>
    <row r="67" spans="1:8" ht="51" customHeight="1" x14ac:dyDescent="0.25">
      <c r="A67" s="31"/>
      <c r="B67" s="44" t="s">
        <v>73</v>
      </c>
      <c r="C67" s="40">
        <v>902</v>
      </c>
      <c r="D67" s="41" t="s">
        <v>18</v>
      </c>
      <c r="E67" s="41" t="s">
        <v>48</v>
      </c>
      <c r="F67" s="42" t="s">
        <v>74</v>
      </c>
      <c r="G67" s="41"/>
      <c r="H67" s="43">
        <f>H68+H69</f>
        <v>5371.2</v>
      </c>
    </row>
    <row r="68" spans="1:8" ht="47.25" customHeight="1" x14ac:dyDescent="0.25">
      <c r="A68" s="31"/>
      <c r="B68" s="44" t="s">
        <v>28</v>
      </c>
      <c r="C68" s="40">
        <v>902</v>
      </c>
      <c r="D68" s="41" t="s">
        <v>18</v>
      </c>
      <c r="E68" s="41" t="s">
        <v>48</v>
      </c>
      <c r="F68" s="42" t="s">
        <v>74</v>
      </c>
      <c r="G68" s="41" t="s">
        <v>29</v>
      </c>
      <c r="H68" s="43">
        <f>3851.3+1163.1+20</f>
        <v>5034.3999999999996</v>
      </c>
    </row>
    <row r="69" spans="1:8" ht="36" customHeight="1" x14ac:dyDescent="0.25">
      <c r="A69" s="31"/>
      <c r="B69" s="39" t="s">
        <v>35</v>
      </c>
      <c r="C69" s="40">
        <v>902</v>
      </c>
      <c r="D69" s="41" t="s">
        <v>18</v>
      </c>
      <c r="E69" s="41" t="s">
        <v>48</v>
      </c>
      <c r="F69" s="42" t="s">
        <v>74</v>
      </c>
      <c r="G69" s="41" t="s">
        <v>36</v>
      </c>
      <c r="H69" s="43">
        <f>336.8</f>
        <v>336.8</v>
      </c>
    </row>
    <row r="70" spans="1:8" ht="127.5" customHeight="1" x14ac:dyDescent="0.25">
      <c r="A70" s="31"/>
      <c r="B70" s="44" t="s">
        <v>75</v>
      </c>
      <c r="C70" s="40">
        <v>902</v>
      </c>
      <c r="D70" s="41" t="s">
        <v>18</v>
      </c>
      <c r="E70" s="41" t="s">
        <v>48</v>
      </c>
      <c r="F70" s="42" t="s">
        <v>76</v>
      </c>
      <c r="G70" s="41"/>
      <c r="H70" s="43">
        <f>H71+H72</f>
        <v>982.7</v>
      </c>
    </row>
    <row r="71" spans="1:8" ht="57.95" customHeight="1" x14ac:dyDescent="0.25">
      <c r="A71" s="31"/>
      <c r="B71" s="46" t="s">
        <v>28</v>
      </c>
      <c r="C71" s="40">
        <v>902</v>
      </c>
      <c r="D71" s="41" t="s">
        <v>18</v>
      </c>
      <c r="E71" s="41" t="s">
        <v>48</v>
      </c>
      <c r="F71" s="42" t="s">
        <v>76</v>
      </c>
      <c r="G71" s="41" t="s">
        <v>29</v>
      </c>
      <c r="H71" s="43">
        <f>690.1+208.4</f>
        <v>898.5</v>
      </c>
    </row>
    <row r="72" spans="1:8" ht="34.5" customHeight="1" x14ac:dyDescent="0.25">
      <c r="A72" s="31"/>
      <c r="B72" s="39" t="s">
        <v>35</v>
      </c>
      <c r="C72" s="40">
        <v>902</v>
      </c>
      <c r="D72" s="41" t="s">
        <v>18</v>
      </c>
      <c r="E72" s="41" t="s">
        <v>48</v>
      </c>
      <c r="F72" s="42" t="s">
        <v>76</v>
      </c>
      <c r="G72" s="41" t="s">
        <v>36</v>
      </c>
      <c r="H72" s="43">
        <f>84.2</f>
        <v>84.2</v>
      </c>
    </row>
    <row r="73" spans="1:8" ht="31.5" customHeight="1" x14ac:dyDescent="0.25">
      <c r="A73" s="31"/>
      <c r="B73" s="39" t="s">
        <v>77</v>
      </c>
      <c r="C73" s="40">
        <v>902</v>
      </c>
      <c r="D73" s="41" t="s">
        <v>18</v>
      </c>
      <c r="E73" s="41" t="s">
        <v>48</v>
      </c>
      <c r="F73" s="42" t="s">
        <v>78</v>
      </c>
      <c r="G73" s="41"/>
      <c r="H73" s="43">
        <f>H74</f>
        <v>252</v>
      </c>
    </row>
    <row r="74" spans="1:8" ht="18.75" customHeight="1" x14ac:dyDescent="0.25">
      <c r="A74" s="31"/>
      <c r="B74" s="39" t="s">
        <v>79</v>
      </c>
      <c r="C74" s="40">
        <v>902</v>
      </c>
      <c r="D74" s="41" t="s">
        <v>18</v>
      </c>
      <c r="E74" s="41" t="s">
        <v>48</v>
      </c>
      <c r="F74" s="42" t="s">
        <v>80</v>
      </c>
      <c r="G74" s="41"/>
      <c r="H74" s="43">
        <f>H75</f>
        <v>252</v>
      </c>
    </row>
    <row r="75" spans="1:8" ht="104.45" customHeight="1" x14ac:dyDescent="0.25">
      <c r="A75" s="31"/>
      <c r="B75" s="47" t="s">
        <v>81</v>
      </c>
      <c r="C75" s="40">
        <v>902</v>
      </c>
      <c r="D75" s="41" t="s">
        <v>18</v>
      </c>
      <c r="E75" s="41" t="s">
        <v>48</v>
      </c>
      <c r="F75" s="42" t="s">
        <v>82</v>
      </c>
      <c r="G75" s="41"/>
      <c r="H75" s="43">
        <f>H76</f>
        <v>252</v>
      </c>
    </row>
    <row r="76" spans="1:8" ht="50.25" customHeight="1" x14ac:dyDescent="0.25">
      <c r="A76" s="31"/>
      <c r="B76" s="44" t="s">
        <v>28</v>
      </c>
      <c r="C76" s="40">
        <v>902</v>
      </c>
      <c r="D76" s="41" t="s">
        <v>18</v>
      </c>
      <c r="E76" s="41" t="s">
        <v>48</v>
      </c>
      <c r="F76" s="42" t="s">
        <v>82</v>
      </c>
      <c r="G76" s="41" t="s">
        <v>29</v>
      </c>
      <c r="H76" s="43">
        <f>193.6+58.4</f>
        <v>252</v>
      </c>
    </row>
    <row r="77" spans="1:8" ht="21" customHeight="1" x14ac:dyDescent="0.25">
      <c r="A77" s="31"/>
      <c r="B77" s="39" t="s">
        <v>83</v>
      </c>
      <c r="C77" s="40">
        <v>902</v>
      </c>
      <c r="D77" s="41" t="s">
        <v>18</v>
      </c>
      <c r="E77" s="41" t="s">
        <v>84</v>
      </c>
      <c r="F77" s="42"/>
      <c r="G77" s="41"/>
      <c r="H77" s="43">
        <f>H78</f>
        <v>89.3</v>
      </c>
    </row>
    <row r="78" spans="1:8" ht="18.75" customHeight="1" x14ac:dyDescent="0.25">
      <c r="A78" s="31"/>
      <c r="B78" s="39" t="s">
        <v>55</v>
      </c>
      <c r="C78" s="40">
        <v>902</v>
      </c>
      <c r="D78" s="41" t="s">
        <v>18</v>
      </c>
      <c r="E78" s="41" t="s">
        <v>84</v>
      </c>
      <c r="F78" s="42" t="s">
        <v>56</v>
      </c>
      <c r="G78" s="41"/>
      <c r="H78" s="43">
        <f>H79</f>
        <v>89.3</v>
      </c>
    </row>
    <row r="79" spans="1:8" ht="20.25" customHeight="1" x14ac:dyDescent="0.25">
      <c r="A79" s="31"/>
      <c r="B79" s="39" t="s">
        <v>69</v>
      </c>
      <c r="C79" s="40">
        <v>902</v>
      </c>
      <c r="D79" s="41" t="s">
        <v>18</v>
      </c>
      <c r="E79" s="41" t="s">
        <v>84</v>
      </c>
      <c r="F79" s="42" t="s">
        <v>70</v>
      </c>
      <c r="G79" s="41"/>
      <c r="H79" s="43">
        <f>H80</f>
        <v>89.3</v>
      </c>
    </row>
    <row r="80" spans="1:8" ht="46.5" customHeight="1" x14ac:dyDescent="0.25">
      <c r="A80" s="31"/>
      <c r="B80" s="39" t="s">
        <v>85</v>
      </c>
      <c r="C80" s="40">
        <v>902</v>
      </c>
      <c r="D80" s="41" t="s">
        <v>18</v>
      </c>
      <c r="E80" s="41" t="s">
        <v>84</v>
      </c>
      <c r="F80" s="42" t="s">
        <v>86</v>
      </c>
      <c r="G80" s="41"/>
      <c r="H80" s="43">
        <f>H81</f>
        <v>89.3</v>
      </c>
    </row>
    <row r="81" spans="1:21" ht="30.75" customHeight="1" x14ac:dyDescent="0.25">
      <c r="A81" s="31"/>
      <c r="B81" s="39" t="s">
        <v>35</v>
      </c>
      <c r="C81" s="40">
        <v>902</v>
      </c>
      <c r="D81" s="41" t="s">
        <v>18</v>
      </c>
      <c r="E81" s="41" t="s">
        <v>84</v>
      </c>
      <c r="F81" s="42" t="s">
        <v>86</v>
      </c>
      <c r="G81" s="41" t="s">
        <v>36</v>
      </c>
      <c r="H81" s="43">
        <f>87.5+1.8</f>
        <v>89.3</v>
      </c>
    </row>
    <row r="82" spans="1:21" ht="18.75" customHeight="1" x14ac:dyDescent="0.25">
      <c r="A82" s="31"/>
      <c r="B82" s="39" t="s">
        <v>87</v>
      </c>
      <c r="C82" s="40">
        <v>902</v>
      </c>
      <c r="D82" s="41" t="s">
        <v>18</v>
      </c>
      <c r="E82" s="41" t="s">
        <v>88</v>
      </c>
      <c r="F82" s="42"/>
      <c r="G82" s="41"/>
      <c r="H82" s="43">
        <f>H83+H94+H112+H127</f>
        <v>147925.1</v>
      </c>
    </row>
    <row r="83" spans="1:21" ht="51" customHeight="1" x14ac:dyDescent="0.25">
      <c r="A83" s="31"/>
      <c r="B83" s="39" t="s">
        <v>89</v>
      </c>
      <c r="C83" s="40">
        <v>902</v>
      </c>
      <c r="D83" s="41" t="s">
        <v>18</v>
      </c>
      <c r="E83" s="41" t="s">
        <v>88</v>
      </c>
      <c r="F83" s="42" t="s">
        <v>90</v>
      </c>
      <c r="G83" s="41"/>
      <c r="H83" s="43">
        <f>H84+H88+H91</f>
        <v>1095</v>
      </c>
    </row>
    <row r="84" spans="1:21" ht="22.5" customHeight="1" x14ac:dyDescent="0.25">
      <c r="A84" s="31"/>
      <c r="B84" s="39" t="s">
        <v>91</v>
      </c>
      <c r="C84" s="40">
        <v>902</v>
      </c>
      <c r="D84" s="41" t="s">
        <v>18</v>
      </c>
      <c r="E84" s="41" t="s">
        <v>88</v>
      </c>
      <c r="F84" s="42" t="s">
        <v>92</v>
      </c>
      <c r="G84" s="41"/>
      <c r="H84" s="43">
        <f>H85</f>
        <v>370</v>
      </c>
    </row>
    <row r="85" spans="1:21" ht="21" customHeight="1" x14ac:dyDescent="0.25">
      <c r="A85" s="31"/>
      <c r="B85" s="39" t="s">
        <v>93</v>
      </c>
      <c r="C85" s="40">
        <v>902</v>
      </c>
      <c r="D85" s="41" t="s">
        <v>18</v>
      </c>
      <c r="E85" s="41" t="s">
        <v>88</v>
      </c>
      <c r="F85" s="42" t="s">
        <v>94</v>
      </c>
      <c r="G85" s="41"/>
      <c r="H85" s="43">
        <f>H86+H87</f>
        <v>370</v>
      </c>
    </row>
    <row r="86" spans="1:21" ht="33" customHeight="1" x14ac:dyDescent="0.25">
      <c r="A86" s="31"/>
      <c r="B86" s="39" t="s">
        <v>35</v>
      </c>
      <c r="C86" s="40">
        <v>902</v>
      </c>
      <c r="D86" s="41" t="s">
        <v>18</v>
      </c>
      <c r="E86" s="41" t="s">
        <v>88</v>
      </c>
      <c r="F86" s="42" t="s">
        <v>94</v>
      </c>
      <c r="G86" s="41" t="s">
        <v>36</v>
      </c>
      <c r="H86" s="43">
        <v>120</v>
      </c>
    </row>
    <row r="87" spans="1:21" ht="16.5" customHeight="1" x14ac:dyDescent="0.25">
      <c r="A87" s="31"/>
      <c r="B87" s="39" t="s">
        <v>30</v>
      </c>
      <c r="C87" s="40">
        <v>902</v>
      </c>
      <c r="D87" s="41" t="s">
        <v>18</v>
      </c>
      <c r="E87" s="41" t="s">
        <v>88</v>
      </c>
      <c r="F87" s="42" t="s">
        <v>94</v>
      </c>
      <c r="G87" s="41" t="s">
        <v>31</v>
      </c>
      <c r="H87" s="43">
        <v>250</v>
      </c>
    </row>
    <row r="88" spans="1:21" ht="15" customHeight="1" x14ac:dyDescent="0.25">
      <c r="A88" s="31"/>
      <c r="B88" s="39" t="s">
        <v>95</v>
      </c>
      <c r="C88" s="40">
        <v>902</v>
      </c>
      <c r="D88" s="41" t="s">
        <v>18</v>
      </c>
      <c r="E88" s="41" t="s">
        <v>88</v>
      </c>
      <c r="F88" s="42" t="s">
        <v>96</v>
      </c>
      <c r="G88" s="41"/>
      <c r="H88" s="43">
        <f>H89</f>
        <v>25</v>
      </c>
    </row>
    <row r="89" spans="1:21" ht="21.75" customHeight="1" x14ac:dyDescent="0.25">
      <c r="A89" s="31"/>
      <c r="B89" s="39" t="s">
        <v>95</v>
      </c>
      <c r="C89" s="40">
        <v>902</v>
      </c>
      <c r="D89" s="41" t="s">
        <v>18</v>
      </c>
      <c r="E89" s="41" t="s">
        <v>88</v>
      </c>
      <c r="F89" s="42" t="s">
        <v>97</v>
      </c>
      <c r="G89" s="41"/>
      <c r="H89" s="43">
        <f>H90</f>
        <v>25</v>
      </c>
    </row>
    <row r="90" spans="1:21" ht="33" customHeight="1" x14ac:dyDescent="0.25">
      <c r="A90" s="31"/>
      <c r="B90" s="39" t="s">
        <v>35</v>
      </c>
      <c r="C90" s="40">
        <v>902</v>
      </c>
      <c r="D90" s="41" t="s">
        <v>18</v>
      </c>
      <c r="E90" s="41" t="s">
        <v>88</v>
      </c>
      <c r="F90" s="42" t="s">
        <v>97</v>
      </c>
      <c r="G90" s="41" t="s">
        <v>36</v>
      </c>
      <c r="H90" s="43">
        <f>25</f>
        <v>25</v>
      </c>
    </row>
    <row r="91" spans="1:21" ht="20.25" customHeight="1" x14ac:dyDescent="0.25">
      <c r="A91" s="31"/>
      <c r="B91" s="39" t="s">
        <v>98</v>
      </c>
      <c r="C91" s="40">
        <v>902</v>
      </c>
      <c r="D91" s="41" t="s">
        <v>18</v>
      </c>
      <c r="E91" s="41" t="s">
        <v>88</v>
      </c>
      <c r="F91" s="42" t="s">
        <v>99</v>
      </c>
      <c r="G91" s="41"/>
      <c r="H91" s="43">
        <f>H92</f>
        <v>700</v>
      </c>
    </row>
    <row r="92" spans="1:21" ht="23.25" customHeight="1" x14ac:dyDescent="0.25">
      <c r="A92" s="31"/>
      <c r="B92" s="39" t="s">
        <v>98</v>
      </c>
      <c r="C92" s="40">
        <v>902</v>
      </c>
      <c r="D92" s="41" t="s">
        <v>18</v>
      </c>
      <c r="E92" s="41" t="s">
        <v>88</v>
      </c>
      <c r="F92" s="42" t="s">
        <v>100</v>
      </c>
      <c r="G92" s="41"/>
      <c r="H92" s="43">
        <f>H93</f>
        <v>700</v>
      </c>
    </row>
    <row r="93" spans="1:21" ht="33" customHeight="1" x14ac:dyDescent="0.25">
      <c r="A93" s="31"/>
      <c r="B93" s="39" t="s">
        <v>35</v>
      </c>
      <c r="C93" s="40">
        <v>902</v>
      </c>
      <c r="D93" s="41" t="s">
        <v>18</v>
      </c>
      <c r="E93" s="41" t="s">
        <v>88</v>
      </c>
      <c r="F93" s="42" t="s">
        <v>100</v>
      </c>
      <c r="G93" s="41" t="s">
        <v>36</v>
      </c>
      <c r="H93" s="43">
        <f>700</f>
        <v>700</v>
      </c>
    </row>
    <row r="94" spans="1:21" ht="21" customHeight="1" x14ac:dyDescent="0.25">
      <c r="A94" s="31"/>
      <c r="B94" s="39" t="s">
        <v>55</v>
      </c>
      <c r="C94" s="40">
        <v>902</v>
      </c>
      <c r="D94" s="41" t="s">
        <v>18</v>
      </c>
      <c r="E94" s="41" t="s">
        <v>88</v>
      </c>
      <c r="F94" s="42" t="s">
        <v>56</v>
      </c>
      <c r="G94" s="41"/>
      <c r="H94" s="43">
        <f>H95+H100+H104</f>
        <v>109342.6</v>
      </c>
      <c r="I94" s="48">
        <f t="shared" ref="I94:T94" si="0">I100+I104</f>
        <v>0</v>
      </c>
      <c r="J94" s="48">
        <f t="shared" si="0"/>
        <v>0</v>
      </c>
      <c r="K94" s="48">
        <f t="shared" si="0"/>
        <v>0</v>
      </c>
      <c r="L94" s="48">
        <f t="shared" si="0"/>
        <v>0</v>
      </c>
      <c r="M94" s="48">
        <f t="shared" si="0"/>
        <v>0</v>
      </c>
      <c r="N94" s="48">
        <f t="shared" si="0"/>
        <v>0</v>
      </c>
      <c r="O94" s="48">
        <f t="shared" si="0"/>
        <v>0</v>
      </c>
      <c r="P94" s="48">
        <f t="shared" si="0"/>
        <v>0</v>
      </c>
      <c r="Q94" s="48">
        <f t="shared" si="0"/>
        <v>0</v>
      </c>
      <c r="R94" s="48">
        <f t="shared" si="0"/>
        <v>0</v>
      </c>
      <c r="S94" s="48">
        <f t="shared" si="0"/>
        <v>0</v>
      </c>
      <c r="T94" s="48">
        <f t="shared" si="0"/>
        <v>0</v>
      </c>
      <c r="U94" s="49"/>
    </row>
    <row r="95" spans="1:21" ht="21.75" customHeight="1" x14ac:dyDescent="0.25">
      <c r="A95" s="31"/>
      <c r="B95" s="39" t="s">
        <v>101</v>
      </c>
      <c r="C95" s="40">
        <v>902</v>
      </c>
      <c r="D95" s="41" t="s">
        <v>18</v>
      </c>
      <c r="E95" s="41" t="s">
        <v>88</v>
      </c>
      <c r="F95" s="42" t="s">
        <v>102</v>
      </c>
      <c r="G95" s="41"/>
      <c r="H95" s="43">
        <f>H96</f>
        <v>34288.1</v>
      </c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</row>
    <row r="96" spans="1:21" ht="31.5" customHeight="1" x14ac:dyDescent="0.25">
      <c r="A96" s="31"/>
      <c r="B96" s="39" t="s">
        <v>103</v>
      </c>
      <c r="C96" s="40">
        <v>902</v>
      </c>
      <c r="D96" s="41" t="s">
        <v>18</v>
      </c>
      <c r="E96" s="41" t="s">
        <v>88</v>
      </c>
      <c r="F96" s="42" t="s">
        <v>104</v>
      </c>
      <c r="G96" s="41"/>
      <c r="H96" s="43">
        <f>H97+H98+H99</f>
        <v>34288.1</v>
      </c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</row>
    <row r="97" spans="1:21" ht="46.5" customHeight="1" x14ac:dyDescent="0.25">
      <c r="A97" s="31"/>
      <c r="B97" s="44" t="s">
        <v>28</v>
      </c>
      <c r="C97" s="40">
        <v>902</v>
      </c>
      <c r="D97" s="41" t="s">
        <v>18</v>
      </c>
      <c r="E97" s="41" t="s">
        <v>88</v>
      </c>
      <c r="F97" s="42" t="s">
        <v>104</v>
      </c>
      <c r="G97" s="41" t="s">
        <v>29</v>
      </c>
      <c r="H97" s="43">
        <f>32854.8</f>
        <v>32854.800000000003</v>
      </c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</row>
    <row r="98" spans="1:21" ht="34.5" customHeight="1" x14ac:dyDescent="0.25">
      <c r="A98" s="31"/>
      <c r="B98" s="39" t="s">
        <v>35</v>
      </c>
      <c r="C98" s="40">
        <v>902</v>
      </c>
      <c r="D98" s="41" t="s">
        <v>18</v>
      </c>
      <c r="E98" s="41" t="s">
        <v>88</v>
      </c>
      <c r="F98" s="42" t="s">
        <v>104</v>
      </c>
      <c r="G98" s="41" t="s">
        <v>36</v>
      </c>
      <c r="H98" s="43">
        <f>833.3+600-3.7</f>
        <v>1429.6</v>
      </c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</row>
    <row r="99" spans="1:21" ht="22.5" customHeight="1" x14ac:dyDescent="0.25">
      <c r="A99" s="31"/>
      <c r="B99" s="39" t="s">
        <v>30</v>
      </c>
      <c r="C99" s="40">
        <v>902</v>
      </c>
      <c r="D99" s="41" t="s">
        <v>18</v>
      </c>
      <c r="E99" s="41" t="s">
        <v>88</v>
      </c>
      <c r="F99" s="42" t="s">
        <v>104</v>
      </c>
      <c r="G99" s="41" t="s">
        <v>31</v>
      </c>
      <c r="H99" s="43">
        <v>3.7</v>
      </c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</row>
    <row r="100" spans="1:21" ht="22.5" customHeight="1" x14ac:dyDescent="0.25">
      <c r="A100" s="31"/>
      <c r="B100" s="39" t="s">
        <v>105</v>
      </c>
      <c r="C100" s="40">
        <v>902</v>
      </c>
      <c r="D100" s="41" t="s">
        <v>18</v>
      </c>
      <c r="E100" s="41" t="s">
        <v>88</v>
      </c>
      <c r="F100" s="42" t="s">
        <v>106</v>
      </c>
      <c r="G100" s="41"/>
      <c r="H100" s="43">
        <f>H101</f>
        <v>24993.7</v>
      </c>
    </row>
    <row r="101" spans="1:21" ht="33" customHeight="1" x14ac:dyDescent="0.25">
      <c r="A101" s="31"/>
      <c r="B101" s="39" t="s">
        <v>103</v>
      </c>
      <c r="C101" s="40">
        <v>902</v>
      </c>
      <c r="D101" s="41" t="s">
        <v>18</v>
      </c>
      <c r="E101" s="41" t="s">
        <v>88</v>
      </c>
      <c r="F101" s="42" t="s">
        <v>107</v>
      </c>
      <c r="G101" s="41"/>
      <c r="H101" s="43">
        <f>H102+H103</f>
        <v>24993.7</v>
      </c>
    </row>
    <row r="102" spans="1:21" ht="49.5" customHeight="1" x14ac:dyDescent="0.25">
      <c r="A102" s="31"/>
      <c r="B102" s="44" t="s">
        <v>28</v>
      </c>
      <c r="C102" s="40">
        <v>902</v>
      </c>
      <c r="D102" s="41" t="s">
        <v>18</v>
      </c>
      <c r="E102" s="41" t="s">
        <v>88</v>
      </c>
      <c r="F102" s="42" t="s">
        <v>107</v>
      </c>
      <c r="G102" s="41" t="s">
        <v>29</v>
      </c>
      <c r="H102" s="43">
        <f>21567.2</f>
        <v>21567.200000000001</v>
      </c>
    </row>
    <row r="103" spans="1:21" ht="33" customHeight="1" x14ac:dyDescent="0.25">
      <c r="A103" s="31"/>
      <c r="B103" s="39" t="s">
        <v>35</v>
      </c>
      <c r="C103" s="40">
        <v>902</v>
      </c>
      <c r="D103" s="41" t="s">
        <v>18</v>
      </c>
      <c r="E103" s="41" t="s">
        <v>88</v>
      </c>
      <c r="F103" s="42" t="s">
        <v>107</v>
      </c>
      <c r="G103" s="41" t="s">
        <v>36</v>
      </c>
      <c r="H103" s="43">
        <f>3426.5</f>
        <v>3426.5</v>
      </c>
    </row>
    <row r="104" spans="1:21" ht="19.5" customHeight="1" x14ac:dyDescent="0.25">
      <c r="A104" s="31"/>
      <c r="B104" s="39" t="s">
        <v>108</v>
      </c>
      <c r="C104" s="40">
        <v>902</v>
      </c>
      <c r="D104" s="41" t="s">
        <v>18</v>
      </c>
      <c r="E104" s="41" t="s">
        <v>88</v>
      </c>
      <c r="F104" s="42" t="s">
        <v>109</v>
      </c>
      <c r="G104" s="41"/>
      <c r="H104" s="43">
        <f>H105+H110</f>
        <v>50060.80000000001</v>
      </c>
    </row>
    <row r="105" spans="1:21" ht="35.25" customHeight="1" x14ac:dyDescent="0.25">
      <c r="A105" s="31"/>
      <c r="B105" s="39" t="s">
        <v>103</v>
      </c>
      <c r="C105" s="40">
        <v>902</v>
      </c>
      <c r="D105" s="41" t="s">
        <v>18</v>
      </c>
      <c r="E105" s="41" t="s">
        <v>88</v>
      </c>
      <c r="F105" s="42" t="s">
        <v>110</v>
      </c>
      <c r="G105" s="41"/>
      <c r="H105" s="43">
        <f>H106+H107+H108+H109</f>
        <v>49053.500000000007</v>
      </c>
    </row>
    <row r="106" spans="1:21" ht="49.5" customHeight="1" x14ac:dyDescent="0.25">
      <c r="A106" s="31"/>
      <c r="B106" s="44" t="s">
        <v>28</v>
      </c>
      <c r="C106" s="40">
        <v>902</v>
      </c>
      <c r="D106" s="41" t="s">
        <v>18</v>
      </c>
      <c r="E106" s="41" t="s">
        <v>88</v>
      </c>
      <c r="F106" s="42" t="s">
        <v>110</v>
      </c>
      <c r="G106" s="41" t="s">
        <v>29</v>
      </c>
      <c r="H106" s="43">
        <f>26329.3+50+100+150</f>
        <v>26629.3</v>
      </c>
    </row>
    <row r="107" spans="1:21" ht="33.75" customHeight="1" x14ac:dyDescent="0.25">
      <c r="A107" s="31"/>
      <c r="B107" s="39" t="s">
        <v>35</v>
      </c>
      <c r="C107" s="40">
        <v>902</v>
      </c>
      <c r="D107" s="41" t="s">
        <v>18</v>
      </c>
      <c r="E107" s="41" t="s">
        <v>88</v>
      </c>
      <c r="F107" s="42" t="s">
        <v>110</v>
      </c>
      <c r="G107" s="41" t="s">
        <v>36</v>
      </c>
      <c r="H107" s="43">
        <f>4284.4+14102-4.3-237-152.3+245.1+4108.6-150</f>
        <v>22196.5</v>
      </c>
    </row>
    <row r="108" spans="1:21" ht="21" customHeight="1" x14ac:dyDescent="0.25">
      <c r="A108" s="31"/>
      <c r="B108" s="39" t="s">
        <v>30</v>
      </c>
      <c r="C108" s="40">
        <v>902</v>
      </c>
      <c r="D108" s="41" t="s">
        <v>18</v>
      </c>
      <c r="E108" s="41" t="s">
        <v>88</v>
      </c>
      <c r="F108" s="42" t="s">
        <v>110</v>
      </c>
      <c r="G108" s="41" t="s">
        <v>31</v>
      </c>
      <c r="H108" s="43">
        <v>4.3</v>
      </c>
    </row>
    <row r="109" spans="1:21" ht="18" customHeight="1" x14ac:dyDescent="0.25">
      <c r="A109" s="31"/>
      <c r="B109" s="39" t="s">
        <v>37</v>
      </c>
      <c r="C109" s="40">
        <v>902</v>
      </c>
      <c r="D109" s="41" t="s">
        <v>18</v>
      </c>
      <c r="E109" s="41" t="s">
        <v>88</v>
      </c>
      <c r="F109" s="42" t="s">
        <v>110</v>
      </c>
      <c r="G109" s="41" t="s">
        <v>38</v>
      </c>
      <c r="H109" s="43">
        <f>223.4</f>
        <v>223.4</v>
      </c>
    </row>
    <row r="110" spans="1:21" ht="21.75" customHeight="1" x14ac:dyDescent="0.25">
      <c r="A110" s="31"/>
      <c r="B110" s="39" t="s">
        <v>111</v>
      </c>
      <c r="C110" s="40">
        <v>902</v>
      </c>
      <c r="D110" s="41" t="s">
        <v>18</v>
      </c>
      <c r="E110" s="41" t="s">
        <v>88</v>
      </c>
      <c r="F110" s="42" t="s">
        <v>112</v>
      </c>
      <c r="G110" s="41"/>
      <c r="H110" s="43">
        <f>H111</f>
        <v>1007.3</v>
      </c>
    </row>
    <row r="111" spans="1:21" ht="34.5" customHeight="1" x14ac:dyDescent="0.25">
      <c r="A111" s="31"/>
      <c r="B111" s="39" t="s">
        <v>35</v>
      </c>
      <c r="C111" s="40">
        <v>902</v>
      </c>
      <c r="D111" s="41" t="s">
        <v>18</v>
      </c>
      <c r="E111" s="41" t="s">
        <v>88</v>
      </c>
      <c r="F111" s="42" t="s">
        <v>112</v>
      </c>
      <c r="G111" s="41" t="s">
        <v>36</v>
      </c>
      <c r="H111" s="43">
        <f>868+137+2.3</f>
        <v>1007.3</v>
      </c>
    </row>
    <row r="112" spans="1:21" ht="21.75" customHeight="1" x14ac:dyDescent="0.25">
      <c r="A112" s="31"/>
      <c r="B112" s="50" t="s">
        <v>113</v>
      </c>
      <c r="C112" s="40">
        <v>902</v>
      </c>
      <c r="D112" s="41" t="s">
        <v>18</v>
      </c>
      <c r="E112" s="41" t="s">
        <v>88</v>
      </c>
      <c r="F112" s="42" t="s">
        <v>114</v>
      </c>
      <c r="G112" s="41"/>
      <c r="H112" s="43">
        <f>H113</f>
        <v>35034</v>
      </c>
    </row>
    <row r="113" spans="1:8" ht="21" customHeight="1" x14ac:dyDescent="0.25">
      <c r="A113" s="31"/>
      <c r="B113" s="50" t="s">
        <v>115</v>
      </c>
      <c r="C113" s="40">
        <v>902</v>
      </c>
      <c r="D113" s="41" t="s">
        <v>18</v>
      </c>
      <c r="E113" s="41" t="s">
        <v>88</v>
      </c>
      <c r="F113" s="42" t="s">
        <v>116</v>
      </c>
      <c r="G113" s="41"/>
      <c r="H113" s="43">
        <f>H121+H114+H119+H124</f>
        <v>35034</v>
      </c>
    </row>
    <row r="114" spans="1:8" ht="31.5" customHeight="1" x14ac:dyDescent="0.25">
      <c r="A114" s="31"/>
      <c r="B114" s="39" t="s">
        <v>103</v>
      </c>
      <c r="C114" s="40">
        <v>902</v>
      </c>
      <c r="D114" s="41" t="s">
        <v>18</v>
      </c>
      <c r="E114" s="41" t="s">
        <v>88</v>
      </c>
      <c r="F114" s="42" t="s">
        <v>117</v>
      </c>
      <c r="G114" s="41"/>
      <c r="H114" s="43">
        <f>H116+H115+H118+H117</f>
        <v>16015.3</v>
      </c>
    </row>
    <row r="115" spans="1:8" ht="46.5" customHeight="1" x14ac:dyDescent="0.25">
      <c r="A115" s="31"/>
      <c r="B115" s="44" t="s">
        <v>28</v>
      </c>
      <c r="C115" s="40">
        <v>902</v>
      </c>
      <c r="D115" s="41" t="s">
        <v>18</v>
      </c>
      <c r="E115" s="41" t="s">
        <v>88</v>
      </c>
      <c r="F115" s="42" t="s">
        <v>117</v>
      </c>
      <c r="G115" s="41" t="s">
        <v>29</v>
      </c>
      <c r="H115" s="43">
        <f>12045.6</f>
        <v>12045.6</v>
      </c>
    </row>
    <row r="116" spans="1:8" ht="34.5" customHeight="1" x14ac:dyDescent="0.25">
      <c r="A116" s="31"/>
      <c r="B116" s="39" t="s">
        <v>35</v>
      </c>
      <c r="C116" s="40">
        <v>902</v>
      </c>
      <c r="D116" s="41" t="s">
        <v>18</v>
      </c>
      <c r="E116" s="41" t="s">
        <v>88</v>
      </c>
      <c r="F116" s="42" t="s">
        <v>117</v>
      </c>
      <c r="G116" s="41" t="s">
        <v>36</v>
      </c>
      <c r="H116" s="43">
        <f>3262.9-60.5-4.3-8</f>
        <v>3190.1</v>
      </c>
    </row>
    <row r="117" spans="1:8" ht="16.5" customHeight="1" x14ac:dyDescent="0.25">
      <c r="A117" s="31"/>
      <c r="B117" s="39" t="s">
        <v>30</v>
      </c>
      <c r="C117" s="40">
        <v>902</v>
      </c>
      <c r="D117" s="41" t="s">
        <v>18</v>
      </c>
      <c r="E117" s="41" t="s">
        <v>88</v>
      </c>
      <c r="F117" s="42" t="s">
        <v>117</v>
      </c>
      <c r="G117" s="41" t="s">
        <v>31</v>
      </c>
      <c r="H117" s="43">
        <v>4.3</v>
      </c>
    </row>
    <row r="118" spans="1:8" ht="20.25" customHeight="1" x14ac:dyDescent="0.25">
      <c r="A118" s="31"/>
      <c r="B118" s="39" t="s">
        <v>37</v>
      </c>
      <c r="C118" s="40">
        <v>902</v>
      </c>
      <c r="D118" s="41" t="s">
        <v>18</v>
      </c>
      <c r="E118" s="41" t="s">
        <v>88</v>
      </c>
      <c r="F118" s="42" t="s">
        <v>117</v>
      </c>
      <c r="G118" s="41" t="s">
        <v>38</v>
      </c>
      <c r="H118" s="43">
        <f>775.3</f>
        <v>775.3</v>
      </c>
    </row>
    <row r="119" spans="1:8" ht="19.5" customHeight="1" x14ac:dyDescent="0.25">
      <c r="A119" s="31"/>
      <c r="B119" s="39" t="s">
        <v>111</v>
      </c>
      <c r="C119" s="40">
        <v>902</v>
      </c>
      <c r="D119" s="41" t="s">
        <v>18</v>
      </c>
      <c r="E119" s="41" t="s">
        <v>88</v>
      </c>
      <c r="F119" s="42" t="s">
        <v>118</v>
      </c>
      <c r="G119" s="41"/>
      <c r="H119" s="43">
        <f>H120</f>
        <v>10955.1</v>
      </c>
    </row>
    <row r="120" spans="1:8" ht="34.5" customHeight="1" x14ac:dyDescent="0.25">
      <c r="A120" s="31"/>
      <c r="B120" s="39" t="s">
        <v>35</v>
      </c>
      <c r="C120" s="40">
        <v>902</v>
      </c>
      <c r="D120" s="41" t="s">
        <v>18</v>
      </c>
      <c r="E120" s="41" t="s">
        <v>88</v>
      </c>
      <c r="F120" s="42" t="s">
        <v>118</v>
      </c>
      <c r="G120" s="41" t="s">
        <v>36</v>
      </c>
      <c r="H120" s="43">
        <f>10955.1</f>
        <v>10955.1</v>
      </c>
    </row>
    <row r="121" spans="1:8" ht="46.5" customHeight="1" x14ac:dyDescent="0.25">
      <c r="A121" s="31"/>
      <c r="B121" s="50" t="s">
        <v>119</v>
      </c>
      <c r="C121" s="40">
        <v>902</v>
      </c>
      <c r="D121" s="41" t="s">
        <v>18</v>
      </c>
      <c r="E121" s="41" t="s">
        <v>88</v>
      </c>
      <c r="F121" s="42" t="s">
        <v>120</v>
      </c>
      <c r="G121" s="41"/>
      <c r="H121" s="43">
        <f>H122+H123</f>
        <v>2802.7</v>
      </c>
    </row>
    <row r="122" spans="1:8" ht="31.5" customHeight="1" x14ac:dyDescent="0.25">
      <c r="A122" s="31"/>
      <c r="B122" s="39" t="s">
        <v>35</v>
      </c>
      <c r="C122" s="40">
        <v>902</v>
      </c>
      <c r="D122" s="41" t="s">
        <v>18</v>
      </c>
      <c r="E122" s="41" t="s">
        <v>88</v>
      </c>
      <c r="F122" s="42" t="s">
        <v>120</v>
      </c>
      <c r="G122" s="41" t="s">
        <v>36</v>
      </c>
      <c r="H122" s="43">
        <f>2790-500-150-500+260-20</f>
        <v>1880</v>
      </c>
    </row>
    <row r="123" spans="1:8" ht="31.5" customHeight="1" x14ac:dyDescent="0.25">
      <c r="A123" s="31"/>
      <c r="B123" s="50" t="s">
        <v>121</v>
      </c>
      <c r="C123" s="40">
        <v>902</v>
      </c>
      <c r="D123" s="41" t="s">
        <v>18</v>
      </c>
      <c r="E123" s="41" t="s">
        <v>88</v>
      </c>
      <c r="F123" s="42" t="s">
        <v>120</v>
      </c>
      <c r="G123" s="41" t="s">
        <v>122</v>
      </c>
      <c r="H123" s="43">
        <v>922.7</v>
      </c>
    </row>
    <row r="124" spans="1:8" ht="21.75" customHeight="1" x14ac:dyDescent="0.25">
      <c r="A124" s="31"/>
      <c r="B124" s="39" t="s">
        <v>123</v>
      </c>
      <c r="C124" s="40">
        <v>902</v>
      </c>
      <c r="D124" s="41" t="s">
        <v>18</v>
      </c>
      <c r="E124" s="41" t="s">
        <v>88</v>
      </c>
      <c r="F124" s="42" t="s">
        <v>124</v>
      </c>
      <c r="G124" s="41"/>
      <c r="H124" s="43">
        <f>H125+H126</f>
        <v>5260.9</v>
      </c>
    </row>
    <row r="125" spans="1:8" ht="33.75" customHeight="1" x14ac:dyDescent="0.25">
      <c r="A125" s="31"/>
      <c r="B125" s="39" t="s">
        <v>35</v>
      </c>
      <c r="C125" s="40">
        <v>902</v>
      </c>
      <c r="D125" s="41" t="s">
        <v>18</v>
      </c>
      <c r="E125" s="41" t="s">
        <v>88</v>
      </c>
      <c r="F125" s="42" t="s">
        <v>124</v>
      </c>
      <c r="G125" s="41" t="s">
        <v>36</v>
      </c>
      <c r="H125" s="43">
        <v>4860.8999999999996</v>
      </c>
    </row>
    <row r="126" spans="1:8" ht="31.5" customHeight="1" x14ac:dyDescent="0.25">
      <c r="A126" s="31"/>
      <c r="B126" s="50" t="s">
        <v>121</v>
      </c>
      <c r="C126" s="40">
        <v>902</v>
      </c>
      <c r="D126" s="41" t="s">
        <v>18</v>
      </c>
      <c r="E126" s="41" t="s">
        <v>88</v>
      </c>
      <c r="F126" s="42" t="s">
        <v>124</v>
      </c>
      <c r="G126" s="41" t="s">
        <v>122</v>
      </c>
      <c r="H126" s="43">
        <v>400</v>
      </c>
    </row>
    <row r="127" spans="1:8" ht="34.5" customHeight="1" x14ac:dyDescent="0.25">
      <c r="A127" s="31"/>
      <c r="B127" s="39" t="s">
        <v>77</v>
      </c>
      <c r="C127" s="40">
        <v>902</v>
      </c>
      <c r="D127" s="41" t="s">
        <v>18</v>
      </c>
      <c r="E127" s="41" t="s">
        <v>88</v>
      </c>
      <c r="F127" s="42" t="s">
        <v>78</v>
      </c>
      <c r="G127" s="41"/>
      <c r="H127" s="43">
        <f>H131+H128</f>
        <v>2453.5</v>
      </c>
    </row>
    <row r="128" spans="1:8" ht="21" customHeight="1" x14ac:dyDescent="0.25">
      <c r="A128" s="31"/>
      <c r="B128" s="39" t="s">
        <v>63</v>
      </c>
      <c r="C128" s="40">
        <v>902</v>
      </c>
      <c r="D128" s="41" t="s">
        <v>18</v>
      </c>
      <c r="E128" s="41" t="s">
        <v>88</v>
      </c>
      <c r="F128" s="42" t="s">
        <v>125</v>
      </c>
      <c r="G128" s="41"/>
      <c r="H128" s="43">
        <f>H130+H129</f>
        <v>1453.5</v>
      </c>
    </row>
    <row r="129" spans="1:8" ht="34.5" customHeight="1" x14ac:dyDescent="0.25">
      <c r="A129" s="31"/>
      <c r="B129" s="39" t="s">
        <v>35</v>
      </c>
      <c r="C129" s="40">
        <v>902</v>
      </c>
      <c r="D129" s="41" t="s">
        <v>18</v>
      </c>
      <c r="E129" s="41" t="s">
        <v>88</v>
      </c>
      <c r="F129" s="42" t="s">
        <v>125</v>
      </c>
      <c r="G129" s="41" t="s">
        <v>36</v>
      </c>
      <c r="H129" s="43">
        <v>50</v>
      </c>
    </row>
    <row r="130" spans="1:8" ht="20.25" customHeight="1" x14ac:dyDescent="0.25">
      <c r="A130" s="31"/>
      <c r="B130" s="39" t="s">
        <v>37</v>
      </c>
      <c r="C130" s="40">
        <v>902</v>
      </c>
      <c r="D130" s="41" t="s">
        <v>18</v>
      </c>
      <c r="E130" s="41" t="s">
        <v>88</v>
      </c>
      <c r="F130" s="42" t="s">
        <v>125</v>
      </c>
      <c r="G130" s="41" t="s">
        <v>38</v>
      </c>
      <c r="H130" s="43">
        <f>735+500+160.5+8</f>
        <v>1403.5</v>
      </c>
    </row>
    <row r="131" spans="1:8" ht="21" customHeight="1" x14ac:dyDescent="0.25">
      <c r="A131" s="31"/>
      <c r="B131" s="39" t="s">
        <v>126</v>
      </c>
      <c r="C131" s="40">
        <v>902</v>
      </c>
      <c r="D131" s="41" t="s">
        <v>18</v>
      </c>
      <c r="E131" s="41" t="s">
        <v>88</v>
      </c>
      <c r="F131" s="42" t="s">
        <v>127</v>
      </c>
      <c r="G131" s="41"/>
      <c r="H131" s="43">
        <f>H132</f>
        <v>1000</v>
      </c>
    </row>
    <row r="132" spans="1:8" ht="35.25" customHeight="1" x14ac:dyDescent="0.25">
      <c r="A132" s="31"/>
      <c r="B132" s="39" t="s">
        <v>35</v>
      </c>
      <c r="C132" s="40">
        <v>902</v>
      </c>
      <c r="D132" s="41" t="s">
        <v>18</v>
      </c>
      <c r="E132" s="41" t="s">
        <v>88</v>
      </c>
      <c r="F132" s="42" t="s">
        <v>127</v>
      </c>
      <c r="G132" s="41" t="s">
        <v>36</v>
      </c>
      <c r="H132" s="43">
        <v>1000</v>
      </c>
    </row>
    <row r="133" spans="1:8" ht="19.5" customHeight="1" x14ac:dyDescent="0.25">
      <c r="A133" s="31"/>
      <c r="B133" s="39" t="s">
        <v>128</v>
      </c>
      <c r="C133" s="40">
        <v>902</v>
      </c>
      <c r="D133" s="41" t="s">
        <v>41</v>
      </c>
      <c r="E133" s="41" t="s">
        <v>19</v>
      </c>
      <c r="F133" s="42"/>
      <c r="G133" s="41"/>
      <c r="H133" s="43">
        <f>H134</f>
        <v>40.4</v>
      </c>
    </row>
    <row r="134" spans="1:8" ht="18.75" customHeight="1" x14ac:dyDescent="0.25">
      <c r="A134" s="31"/>
      <c r="B134" s="39" t="s">
        <v>129</v>
      </c>
      <c r="C134" s="40">
        <v>902</v>
      </c>
      <c r="D134" s="41" t="s">
        <v>41</v>
      </c>
      <c r="E134" s="41" t="s">
        <v>48</v>
      </c>
      <c r="F134" s="42"/>
      <c r="G134" s="41"/>
      <c r="H134" s="43">
        <f>H135</f>
        <v>40.4</v>
      </c>
    </row>
    <row r="135" spans="1:8" ht="15.75" customHeight="1" x14ac:dyDescent="0.25">
      <c r="A135" s="31"/>
      <c r="B135" s="39" t="s">
        <v>55</v>
      </c>
      <c r="C135" s="40">
        <v>902</v>
      </c>
      <c r="D135" s="41" t="s">
        <v>41</v>
      </c>
      <c r="E135" s="41" t="s">
        <v>48</v>
      </c>
      <c r="F135" s="42" t="s">
        <v>56</v>
      </c>
      <c r="G135" s="41"/>
      <c r="H135" s="43">
        <f>H136</f>
        <v>40.4</v>
      </c>
    </row>
    <row r="136" spans="1:8" ht="19.5" customHeight="1" x14ac:dyDescent="0.25">
      <c r="A136" s="31"/>
      <c r="B136" s="39" t="s">
        <v>130</v>
      </c>
      <c r="C136" s="40">
        <v>902</v>
      </c>
      <c r="D136" s="41" t="s">
        <v>41</v>
      </c>
      <c r="E136" s="41" t="s">
        <v>48</v>
      </c>
      <c r="F136" s="42" t="s">
        <v>58</v>
      </c>
      <c r="G136" s="41"/>
      <c r="H136" s="43">
        <f>H137</f>
        <v>40.4</v>
      </c>
    </row>
    <row r="137" spans="1:8" ht="18" customHeight="1" x14ac:dyDescent="0.25">
      <c r="A137" s="31"/>
      <c r="B137" s="39" t="s">
        <v>131</v>
      </c>
      <c r="C137" s="40">
        <v>902</v>
      </c>
      <c r="D137" s="41" t="s">
        <v>41</v>
      </c>
      <c r="E137" s="41" t="s">
        <v>48</v>
      </c>
      <c r="F137" s="42" t="s">
        <v>132</v>
      </c>
      <c r="G137" s="41"/>
      <c r="H137" s="43">
        <f>H138</f>
        <v>40.4</v>
      </c>
    </row>
    <row r="138" spans="1:8" ht="33.75" customHeight="1" x14ac:dyDescent="0.25">
      <c r="A138" s="31"/>
      <c r="B138" s="39" t="s">
        <v>35</v>
      </c>
      <c r="C138" s="40">
        <v>902</v>
      </c>
      <c r="D138" s="41" t="s">
        <v>41</v>
      </c>
      <c r="E138" s="41" t="s">
        <v>48</v>
      </c>
      <c r="F138" s="42" t="s">
        <v>132</v>
      </c>
      <c r="G138" s="41" t="s">
        <v>36</v>
      </c>
      <c r="H138" s="43">
        <f>40.4</f>
        <v>40.4</v>
      </c>
    </row>
    <row r="139" spans="1:8" ht="16.5" customHeight="1" x14ac:dyDescent="0.25">
      <c r="A139" s="31"/>
      <c r="B139" s="39" t="s">
        <v>133</v>
      </c>
      <c r="C139" s="40">
        <v>902</v>
      </c>
      <c r="D139" s="41" t="s">
        <v>21</v>
      </c>
      <c r="E139" s="41" t="s">
        <v>19</v>
      </c>
      <c r="F139" s="42"/>
      <c r="G139" s="41"/>
      <c r="H139" s="43">
        <f>H140+H166+H145</f>
        <v>97649.299999999988</v>
      </c>
    </row>
    <row r="140" spans="1:8" ht="18.75" customHeight="1" x14ac:dyDescent="0.25">
      <c r="A140" s="31"/>
      <c r="B140" s="39" t="s">
        <v>134</v>
      </c>
      <c r="C140" s="40">
        <v>902</v>
      </c>
      <c r="D140" s="41" t="s">
        <v>21</v>
      </c>
      <c r="E140" s="41" t="s">
        <v>135</v>
      </c>
      <c r="F140" s="42"/>
      <c r="G140" s="41"/>
      <c r="H140" s="43">
        <f>H141</f>
        <v>500</v>
      </c>
    </row>
    <row r="141" spans="1:8" ht="51.75" customHeight="1" x14ac:dyDescent="0.25">
      <c r="A141" s="31"/>
      <c r="B141" s="39" t="s">
        <v>136</v>
      </c>
      <c r="C141" s="40">
        <v>902</v>
      </c>
      <c r="D141" s="41" t="s">
        <v>21</v>
      </c>
      <c r="E141" s="41" t="s">
        <v>135</v>
      </c>
      <c r="F141" s="42" t="s">
        <v>137</v>
      </c>
      <c r="G141" s="41"/>
      <c r="H141" s="43">
        <f>H142</f>
        <v>500</v>
      </c>
    </row>
    <row r="142" spans="1:8" ht="33.75" customHeight="1" x14ac:dyDescent="0.25">
      <c r="A142" s="31"/>
      <c r="B142" s="39" t="s">
        <v>138</v>
      </c>
      <c r="C142" s="40">
        <v>902</v>
      </c>
      <c r="D142" s="41" t="s">
        <v>21</v>
      </c>
      <c r="E142" s="41" t="s">
        <v>135</v>
      </c>
      <c r="F142" s="42" t="s">
        <v>139</v>
      </c>
      <c r="G142" s="41"/>
      <c r="H142" s="43">
        <f>H143</f>
        <v>500</v>
      </c>
    </row>
    <row r="143" spans="1:8" ht="33" customHeight="1" x14ac:dyDescent="0.25">
      <c r="A143" s="31"/>
      <c r="B143" s="39" t="s">
        <v>140</v>
      </c>
      <c r="C143" s="40">
        <v>902</v>
      </c>
      <c r="D143" s="41" t="s">
        <v>21</v>
      </c>
      <c r="E143" s="41" t="s">
        <v>135</v>
      </c>
      <c r="F143" s="42" t="s">
        <v>141</v>
      </c>
      <c r="G143" s="41"/>
      <c r="H143" s="43">
        <f>H144</f>
        <v>500</v>
      </c>
    </row>
    <row r="144" spans="1:8" ht="33" customHeight="1" x14ac:dyDescent="0.25">
      <c r="A144" s="31"/>
      <c r="B144" s="39" t="s">
        <v>35</v>
      </c>
      <c r="C144" s="40">
        <v>902</v>
      </c>
      <c r="D144" s="41" t="s">
        <v>21</v>
      </c>
      <c r="E144" s="41" t="s">
        <v>135</v>
      </c>
      <c r="F144" s="42" t="s">
        <v>141</v>
      </c>
      <c r="G144" s="41" t="s">
        <v>36</v>
      </c>
      <c r="H144" s="43">
        <f>500</f>
        <v>500</v>
      </c>
    </row>
    <row r="145" spans="1:11" ht="31.5" customHeight="1" x14ac:dyDescent="0.25">
      <c r="A145" s="31"/>
      <c r="B145" s="39" t="s">
        <v>142</v>
      </c>
      <c r="C145" s="40">
        <v>902</v>
      </c>
      <c r="D145" s="41" t="s">
        <v>21</v>
      </c>
      <c r="E145" s="41" t="s">
        <v>143</v>
      </c>
      <c r="F145" s="42"/>
      <c r="G145" s="41"/>
      <c r="H145" s="43">
        <f>H146+H162</f>
        <v>96660.299999999988</v>
      </c>
    </row>
    <row r="146" spans="1:11" ht="50.85" customHeight="1" x14ac:dyDescent="0.25">
      <c r="A146" s="31"/>
      <c r="B146" s="39" t="s">
        <v>136</v>
      </c>
      <c r="C146" s="40">
        <v>902</v>
      </c>
      <c r="D146" s="41" t="s">
        <v>21</v>
      </c>
      <c r="E146" s="41" t="s">
        <v>143</v>
      </c>
      <c r="F146" s="42" t="s">
        <v>137</v>
      </c>
      <c r="G146" s="41"/>
      <c r="H146" s="43">
        <f>H147+H156</f>
        <v>96267.799999999988</v>
      </c>
    </row>
    <row r="147" spans="1:11" ht="34.5" customHeight="1" x14ac:dyDescent="0.25">
      <c r="A147" s="31"/>
      <c r="B147" s="39" t="s">
        <v>138</v>
      </c>
      <c r="C147" s="40">
        <v>902</v>
      </c>
      <c r="D147" s="41" t="s">
        <v>21</v>
      </c>
      <c r="E147" s="41" t="s">
        <v>143</v>
      </c>
      <c r="F147" s="42" t="s">
        <v>139</v>
      </c>
      <c r="G147" s="41"/>
      <c r="H147" s="43">
        <f>H148+H151+H153</f>
        <v>58448.399999999994</v>
      </c>
    </row>
    <row r="148" spans="1:11" ht="36.75" customHeight="1" x14ac:dyDescent="0.25">
      <c r="A148" s="31"/>
      <c r="B148" s="39" t="s">
        <v>144</v>
      </c>
      <c r="C148" s="40">
        <v>902</v>
      </c>
      <c r="D148" s="41" t="s">
        <v>21</v>
      </c>
      <c r="E148" s="41" t="s">
        <v>143</v>
      </c>
      <c r="F148" s="42" t="s">
        <v>145</v>
      </c>
      <c r="G148" s="41"/>
      <c r="H148" s="43">
        <f>H149+H150</f>
        <v>12987.2</v>
      </c>
    </row>
    <row r="149" spans="1:11" ht="34.5" customHeight="1" x14ac:dyDescent="0.25">
      <c r="A149" s="31"/>
      <c r="B149" s="39" t="s">
        <v>35</v>
      </c>
      <c r="C149" s="40">
        <v>902</v>
      </c>
      <c r="D149" s="41" t="s">
        <v>21</v>
      </c>
      <c r="E149" s="41" t="s">
        <v>143</v>
      </c>
      <c r="F149" s="42" t="s">
        <v>145</v>
      </c>
      <c r="G149" s="41" t="s">
        <v>36</v>
      </c>
      <c r="H149" s="43">
        <f>3550+4436.8+5000.4</f>
        <v>12987.2</v>
      </c>
      <c r="I149" s="42" t="s">
        <v>146</v>
      </c>
      <c r="J149" s="41" t="s">
        <v>36</v>
      </c>
      <c r="K149" s="51">
        <v>952</v>
      </c>
    </row>
    <row r="150" spans="1:11" ht="33" customHeight="1" x14ac:dyDescent="0.25">
      <c r="A150" s="31"/>
      <c r="B150" s="39" t="s">
        <v>147</v>
      </c>
      <c r="C150" s="40">
        <v>902</v>
      </c>
      <c r="D150" s="41" t="s">
        <v>21</v>
      </c>
      <c r="E150" s="41" t="s">
        <v>143</v>
      </c>
      <c r="F150" s="42" t="s">
        <v>145</v>
      </c>
      <c r="G150" s="41" t="s">
        <v>148</v>
      </c>
      <c r="H150" s="43"/>
    </row>
    <row r="151" spans="1:11" ht="36.75" customHeight="1" x14ac:dyDescent="0.25">
      <c r="A151" s="31"/>
      <c r="B151" s="39" t="s">
        <v>103</v>
      </c>
      <c r="C151" s="40">
        <v>902</v>
      </c>
      <c r="D151" s="41" t="s">
        <v>21</v>
      </c>
      <c r="E151" s="41" t="s">
        <v>143</v>
      </c>
      <c r="F151" s="42" t="s">
        <v>149</v>
      </c>
      <c r="G151" s="41"/>
      <c r="H151" s="43">
        <f>H152</f>
        <v>28108.5</v>
      </c>
      <c r="I151" s="42"/>
      <c r="J151" s="41"/>
      <c r="K151" s="51"/>
    </row>
    <row r="152" spans="1:11" ht="33" customHeight="1" x14ac:dyDescent="0.25">
      <c r="A152" s="31"/>
      <c r="B152" s="39" t="s">
        <v>147</v>
      </c>
      <c r="C152" s="40">
        <v>902</v>
      </c>
      <c r="D152" s="41" t="s">
        <v>21</v>
      </c>
      <c r="E152" s="41" t="s">
        <v>143</v>
      </c>
      <c r="F152" s="42" t="s">
        <v>149</v>
      </c>
      <c r="G152" s="41" t="s">
        <v>148</v>
      </c>
      <c r="H152" s="43">
        <f>17091.3+3017.2+8000</f>
        <v>28108.5</v>
      </c>
    </row>
    <row r="153" spans="1:11" ht="15.75" customHeight="1" x14ac:dyDescent="0.25">
      <c r="A153" s="31"/>
      <c r="B153" s="39" t="s">
        <v>60</v>
      </c>
      <c r="C153" s="40">
        <v>902</v>
      </c>
      <c r="D153" s="41" t="s">
        <v>21</v>
      </c>
      <c r="E153" s="41" t="s">
        <v>143</v>
      </c>
      <c r="F153" s="42" t="s">
        <v>150</v>
      </c>
      <c r="G153" s="41"/>
      <c r="H153" s="43">
        <f>H154</f>
        <v>17352.7</v>
      </c>
    </row>
    <row r="154" spans="1:11" ht="35.25" customHeight="1" x14ac:dyDescent="0.25">
      <c r="A154" s="31"/>
      <c r="B154" s="39" t="s">
        <v>103</v>
      </c>
      <c r="C154" s="40">
        <v>902</v>
      </c>
      <c r="D154" s="41" t="s">
        <v>21</v>
      </c>
      <c r="E154" s="41" t="s">
        <v>143</v>
      </c>
      <c r="F154" s="42" t="s">
        <v>151</v>
      </c>
      <c r="G154" s="41"/>
      <c r="H154" s="43">
        <f>H155</f>
        <v>17352.7</v>
      </c>
    </row>
    <row r="155" spans="1:11" ht="35.25" customHeight="1" x14ac:dyDescent="0.25">
      <c r="A155" s="31"/>
      <c r="B155" s="39" t="s">
        <v>147</v>
      </c>
      <c r="C155" s="40">
        <v>902</v>
      </c>
      <c r="D155" s="41" t="s">
        <v>21</v>
      </c>
      <c r="E155" s="41" t="s">
        <v>143</v>
      </c>
      <c r="F155" s="42" t="s">
        <v>151</v>
      </c>
      <c r="G155" s="41" t="s">
        <v>148</v>
      </c>
      <c r="H155" s="43">
        <f>17352.7</f>
        <v>17352.7</v>
      </c>
    </row>
    <row r="156" spans="1:11" ht="33" customHeight="1" x14ac:dyDescent="0.25">
      <c r="A156" s="31"/>
      <c r="B156" s="39" t="s">
        <v>152</v>
      </c>
      <c r="C156" s="40">
        <v>902</v>
      </c>
      <c r="D156" s="41" t="s">
        <v>21</v>
      </c>
      <c r="E156" s="41" t="s">
        <v>143</v>
      </c>
      <c r="F156" s="42" t="s">
        <v>153</v>
      </c>
      <c r="G156" s="41"/>
      <c r="H156" s="43">
        <f>H157+H161</f>
        <v>37819.4</v>
      </c>
    </row>
    <row r="157" spans="1:11" ht="33.75" customHeight="1" x14ac:dyDescent="0.25">
      <c r="A157" s="31"/>
      <c r="B157" s="39" t="s">
        <v>103</v>
      </c>
      <c r="C157" s="40">
        <v>902</v>
      </c>
      <c r="D157" s="41" t="s">
        <v>21</v>
      </c>
      <c r="E157" s="41" t="s">
        <v>143</v>
      </c>
      <c r="F157" s="42" t="s">
        <v>154</v>
      </c>
      <c r="G157" s="41"/>
      <c r="H157" s="43">
        <f>H158+H159</f>
        <v>29861.1</v>
      </c>
    </row>
    <row r="158" spans="1:11" ht="50.85" customHeight="1" x14ac:dyDescent="0.25">
      <c r="A158" s="31"/>
      <c r="B158" s="44" t="s">
        <v>28</v>
      </c>
      <c r="C158" s="40">
        <v>902</v>
      </c>
      <c r="D158" s="41" t="s">
        <v>21</v>
      </c>
      <c r="E158" s="41" t="s">
        <v>143</v>
      </c>
      <c r="F158" s="42" t="s">
        <v>154</v>
      </c>
      <c r="G158" s="41" t="s">
        <v>29</v>
      </c>
      <c r="H158" s="43">
        <f>24627.6</f>
        <v>24627.599999999999</v>
      </c>
    </row>
    <row r="159" spans="1:11" ht="33.75" customHeight="1" x14ac:dyDescent="0.25">
      <c r="A159" s="31"/>
      <c r="B159" s="39" t="s">
        <v>35</v>
      </c>
      <c r="C159" s="40">
        <v>902</v>
      </c>
      <c r="D159" s="41" t="s">
        <v>21</v>
      </c>
      <c r="E159" s="41" t="s">
        <v>143</v>
      </c>
      <c r="F159" s="42" t="s">
        <v>154</v>
      </c>
      <c r="G159" s="41" t="s">
        <v>36</v>
      </c>
      <c r="H159" s="43">
        <f>3072.6+600+1501.1+304.9-245.1</f>
        <v>5233.4999999999991</v>
      </c>
    </row>
    <row r="160" spans="1:11" ht="18.75" customHeight="1" x14ac:dyDescent="0.25">
      <c r="A160" s="31"/>
      <c r="B160" s="39" t="s">
        <v>155</v>
      </c>
      <c r="C160" s="40">
        <v>902</v>
      </c>
      <c r="D160" s="41" t="s">
        <v>21</v>
      </c>
      <c r="E160" s="41" t="s">
        <v>143</v>
      </c>
      <c r="F160" s="42" t="s">
        <v>156</v>
      </c>
      <c r="G160" s="41"/>
      <c r="H160" s="43">
        <f>H161</f>
        <v>7958.3</v>
      </c>
    </row>
    <row r="161" spans="1:8" ht="36" customHeight="1" x14ac:dyDescent="0.25">
      <c r="A161" s="31"/>
      <c r="B161" s="39" t="s">
        <v>35</v>
      </c>
      <c r="C161" s="40">
        <v>902</v>
      </c>
      <c r="D161" s="41" t="s">
        <v>21</v>
      </c>
      <c r="E161" s="41" t="s">
        <v>143</v>
      </c>
      <c r="F161" s="42" t="s">
        <v>156</v>
      </c>
      <c r="G161" s="41" t="s">
        <v>36</v>
      </c>
      <c r="H161" s="43">
        <v>7958.3</v>
      </c>
    </row>
    <row r="162" spans="1:8" ht="33" customHeight="1" x14ac:dyDescent="0.25">
      <c r="A162" s="31"/>
      <c r="B162" s="39" t="s">
        <v>77</v>
      </c>
      <c r="C162" s="40">
        <v>902</v>
      </c>
      <c r="D162" s="41" t="s">
        <v>21</v>
      </c>
      <c r="E162" s="41" t="s">
        <v>143</v>
      </c>
      <c r="F162" s="42" t="s">
        <v>78</v>
      </c>
      <c r="G162" s="41"/>
      <c r="H162" s="43">
        <f>H163</f>
        <v>392.5</v>
      </c>
    </row>
    <row r="163" spans="1:8" ht="16.5" customHeight="1" x14ac:dyDescent="0.25">
      <c r="A163" s="31"/>
      <c r="B163" s="39" t="s">
        <v>79</v>
      </c>
      <c r="C163" s="40">
        <v>902</v>
      </c>
      <c r="D163" s="41" t="s">
        <v>21</v>
      </c>
      <c r="E163" s="41" t="s">
        <v>143</v>
      </c>
      <c r="F163" s="42" t="s">
        <v>80</v>
      </c>
      <c r="G163" s="41"/>
      <c r="H163" s="43">
        <f>H164</f>
        <v>392.5</v>
      </c>
    </row>
    <row r="164" spans="1:8" ht="50.25" customHeight="1" x14ac:dyDescent="0.25">
      <c r="A164" s="31"/>
      <c r="B164" s="39" t="s">
        <v>157</v>
      </c>
      <c r="C164" s="40">
        <v>902</v>
      </c>
      <c r="D164" s="41" t="s">
        <v>21</v>
      </c>
      <c r="E164" s="41" t="s">
        <v>143</v>
      </c>
      <c r="F164" s="42" t="s">
        <v>158</v>
      </c>
      <c r="G164" s="41"/>
      <c r="H164" s="43">
        <f>H165</f>
        <v>392.5</v>
      </c>
    </row>
    <row r="165" spans="1:8" ht="36" customHeight="1" x14ac:dyDescent="0.25">
      <c r="A165" s="31"/>
      <c r="B165" s="39" t="s">
        <v>35</v>
      </c>
      <c r="C165" s="40">
        <v>902</v>
      </c>
      <c r="D165" s="41" t="s">
        <v>21</v>
      </c>
      <c r="E165" s="41" t="s">
        <v>143</v>
      </c>
      <c r="F165" s="42" t="s">
        <v>158</v>
      </c>
      <c r="G165" s="41" t="s">
        <v>36</v>
      </c>
      <c r="H165" s="43">
        <f>299.3+93.2</f>
        <v>392.5</v>
      </c>
    </row>
    <row r="166" spans="1:8" ht="33" customHeight="1" x14ac:dyDescent="0.25">
      <c r="A166" s="31"/>
      <c r="B166" s="44" t="s">
        <v>159</v>
      </c>
      <c r="C166" s="40">
        <v>902</v>
      </c>
      <c r="D166" s="41" t="s">
        <v>21</v>
      </c>
      <c r="E166" s="41" t="s">
        <v>160</v>
      </c>
      <c r="F166" s="42"/>
      <c r="G166" s="41"/>
      <c r="H166" s="43">
        <f>H167</f>
        <v>489</v>
      </c>
    </row>
    <row r="167" spans="1:8" ht="33.75" customHeight="1" x14ac:dyDescent="0.25">
      <c r="A167" s="31"/>
      <c r="B167" s="39" t="s">
        <v>161</v>
      </c>
      <c r="C167" s="40">
        <v>902</v>
      </c>
      <c r="D167" s="41" t="s">
        <v>21</v>
      </c>
      <c r="E167" s="41" t="s">
        <v>160</v>
      </c>
      <c r="F167" s="42" t="s">
        <v>162</v>
      </c>
      <c r="G167" s="41"/>
      <c r="H167" s="43">
        <f>H169+H171+H174</f>
        <v>489</v>
      </c>
    </row>
    <row r="168" spans="1:8" ht="34.5" customHeight="1" x14ac:dyDescent="0.25">
      <c r="A168" s="31"/>
      <c r="B168" s="39" t="s">
        <v>163</v>
      </c>
      <c r="C168" s="40">
        <v>902</v>
      </c>
      <c r="D168" s="41" t="s">
        <v>21</v>
      </c>
      <c r="E168" s="41" t="s">
        <v>160</v>
      </c>
      <c r="F168" s="42" t="s">
        <v>164</v>
      </c>
      <c r="G168" s="41"/>
      <c r="H168" s="43">
        <f>H169</f>
        <v>75</v>
      </c>
    </row>
    <row r="169" spans="1:8" ht="20.25" customHeight="1" x14ac:dyDescent="0.25">
      <c r="A169" s="31"/>
      <c r="B169" s="39" t="s">
        <v>165</v>
      </c>
      <c r="C169" s="40">
        <v>902</v>
      </c>
      <c r="D169" s="41" t="s">
        <v>21</v>
      </c>
      <c r="E169" s="41" t="s">
        <v>160</v>
      </c>
      <c r="F169" s="42" t="s">
        <v>166</v>
      </c>
      <c r="G169" s="41"/>
      <c r="H169" s="43">
        <f>H170</f>
        <v>75</v>
      </c>
    </row>
    <row r="170" spans="1:8" ht="36" customHeight="1" x14ac:dyDescent="0.25">
      <c r="A170" s="31"/>
      <c r="B170" s="39" t="s">
        <v>35</v>
      </c>
      <c r="C170" s="40">
        <v>902</v>
      </c>
      <c r="D170" s="41" t="s">
        <v>21</v>
      </c>
      <c r="E170" s="41" t="s">
        <v>160</v>
      </c>
      <c r="F170" s="42" t="s">
        <v>166</v>
      </c>
      <c r="G170" s="41" t="s">
        <v>36</v>
      </c>
      <c r="H170" s="43">
        <f>75</f>
        <v>75</v>
      </c>
    </row>
    <row r="171" spans="1:8" ht="19.5" customHeight="1" x14ac:dyDescent="0.25">
      <c r="A171" s="31"/>
      <c r="B171" s="39" t="s">
        <v>167</v>
      </c>
      <c r="C171" s="40">
        <v>902</v>
      </c>
      <c r="D171" s="41" t="s">
        <v>21</v>
      </c>
      <c r="E171" s="41" t="s">
        <v>160</v>
      </c>
      <c r="F171" s="42" t="s">
        <v>168</v>
      </c>
      <c r="G171" s="41"/>
      <c r="H171" s="43">
        <f>H172</f>
        <v>50</v>
      </c>
    </row>
    <row r="172" spans="1:8" ht="21.75" customHeight="1" x14ac:dyDescent="0.25">
      <c r="A172" s="31"/>
      <c r="B172" s="39" t="s">
        <v>169</v>
      </c>
      <c r="C172" s="40">
        <v>902</v>
      </c>
      <c r="D172" s="41" t="s">
        <v>21</v>
      </c>
      <c r="E172" s="41" t="s">
        <v>160</v>
      </c>
      <c r="F172" s="42" t="s">
        <v>170</v>
      </c>
      <c r="G172" s="41"/>
      <c r="H172" s="43">
        <f>H173</f>
        <v>50</v>
      </c>
    </row>
    <row r="173" spans="1:8" ht="34.5" customHeight="1" x14ac:dyDescent="0.25">
      <c r="A173" s="31"/>
      <c r="B173" s="39" t="s">
        <v>35</v>
      </c>
      <c r="C173" s="40">
        <v>902</v>
      </c>
      <c r="D173" s="41" t="s">
        <v>21</v>
      </c>
      <c r="E173" s="41" t="s">
        <v>160</v>
      </c>
      <c r="F173" s="42" t="s">
        <v>170</v>
      </c>
      <c r="G173" s="41" t="s">
        <v>36</v>
      </c>
      <c r="H173" s="43">
        <f>50</f>
        <v>50</v>
      </c>
    </row>
    <row r="174" spans="1:8" ht="21" customHeight="1" x14ac:dyDescent="0.25">
      <c r="A174" s="31"/>
      <c r="B174" s="39" t="s">
        <v>171</v>
      </c>
      <c r="C174" s="40">
        <v>902</v>
      </c>
      <c r="D174" s="41" t="s">
        <v>21</v>
      </c>
      <c r="E174" s="41" t="s">
        <v>160</v>
      </c>
      <c r="F174" s="42" t="s">
        <v>172</v>
      </c>
      <c r="G174" s="41"/>
      <c r="H174" s="43">
        <f>H175</f>
        <v>364</v>
      </c>
    </row>
    <row r="175" spans="1:8" ht="21" customHeight="1" x14ac:dyDescent="0.25">
      <c r="A175" s="31"/>
      <c r="B175" s="39" t="s">
        <v>171</v>
      </c>
      <c r="C175" s="40">
        <v>902</v>
      </c>
      <c r="D175" s="41" t="s">
        <v>21</v>
      </c>
      <c r="E175" s="41" t="s">
        <v>160</v>
      </c>
      <c r="F175" s="42" t="s">
        <v>173</v>
      </c>
      <c r="G175" s="41"/>
      <c r="H175" s="43">
        <f>H176</f>
        <v>364</v>
      </c>
    </row>
    <row r="176" spans="1:8" ht="33.75" customHeight="1" x14ac:dyDescent="0.25">
      <c r="A176" s="31"/>
      <c r="B176" s="39" t="s">
        <v>147</v>
      </c>
      <c r="C176" s="40">
        <v>902</v>
      </c>
      <c r="D176" s="41" t="s">
        <v>21</v>
      </c>
      <c r="E176" s="41" t="s">
        <v>160</v>
      </c>
      <c r="F176" s="42" t="s">
        <v>173</v>
      </c>
      <c r="G176" s="41" t="s">
        <v>148</v>
      </c>
      <c r="H176" s="43">
        <f>364</f>
        <v>364</v>
      </c>
    </row>
    <row r="177" spans="1:8" ht="19.5" customHeight="1" x14ac:dyDescent="0.25">
      <c r="A177" s="31"/>
      <c r="B177" s="39" t="s">
        <v>174</v>
      </c>
      <c r="C177" s="40">
        <v>902</v>
      </c>
      <c r="D177" s="41" t="s">
        <v>48</v>
      </c>
      <c r="E177" s="41" t="s">
        <v>19</v>
      </c>
      <c r="F177" s="42"/>
      <c r="G177" s="41"/>
      <c r="H177" s="43">
        <f>H178+H209+H214+H222+H227</f>
        <v>173441.60000000003</v>
      </c>
    </row>
    <row r="178" spans="1:8" ht="19.5" customHeight="1" x14ac:dyDescent="0.25">
      <c r="A178" s="31"/>
      <c r="B178" s="39" t="s">
        <v>175</v>
      </c>
      <c r="C178" s="40">
        <v>902</v>
      </c>
      <c r="D178" s="41" t="s">
        <v>48</v>
      </c>
      <c r="E178" s="41" t="s">
        <v>84</v>
      </c>
      <c r="F178" s="42"/>
      <c r="G178" s="41"/>
      <c r="H178" s="43">
        <f>H179</f>
        <v>10709.7</v>
      </c>
    </row>
    <row r="179" spans="1:8" ht="33" customHeight="1" x14ac:dyDescent="0.25">
      <c r="A179" s="31"/>
      <c r="B179" s="46" t="s">
        <v>176</v>
      </c>
      <c r="C179" s="40">
        <v>902</v>
      </c>
      <c r="D179" s="41" t="s">
        <v>48</v>
      </c>
      <c r="E179" s="41" t="s">
        <v>84</v>
      </c>
      <c r="F179" s="42" t="s">
        <v>177</v>
      </c>
      <c r="G179" s="41"/>
      <c r="H179" s="43">
        <f>H180+H192+H204</f>
        <v>10709.7</v>
      </c>
    </row>
    <row r="180" spans="1:8" ht="35.25" customHeight="1" x14ac:dyDescent="0.25">
      <c r="A180" s="31"/>
      <c r="B180" s="46" t="s">
        <v>178</v>
      </c>
      <c r="C180" s="40">
        <v>902</v>
      </c>
      <c r="D180" s="41" t="s">
        <v>48</v>
      </c>
      <c r="E180" s="41" t="s">
        <v>84</v>
      </c>
      <c r="F180" s="42" t="s">
        <v>179</v>
      </c>
      <c r="G180" s="41"/>
      <c r="H180" s="43">
        <f>H181+H186+H189</f>
        <v>100</v>
      </c>
    </row>
    <row r="181" spans="1:8" ht="49.5" customHeight="1" x14ac:dyDescent="0.25">
      <c r="A181" s="31"/>
      <c r="B181" s="52" t="s">
        <v>180</v>
      </c>
      <c r="C181" s="40">
        <v>902</v>
      </c>
      <c r="D181" s="41" t="s">
        <v>48</v>
      </c>
      <c r="E181" s="41" t="s">
        <v>84</v>
      </c>
      <c r="F181" s="42" t="s">
        <v>181</v>
      </c>
      <c r="G181" s="41"/>
      <c r="H181" s="43">
        <f>H182+H184</f>
        <v>100</v>
      </c>
    </row>
    <row r="182" spans="1:8" ht="34.5" customHeight="1" x14ac:dyDescent="0.25">
      <c r="A182" s="31"/>
      <c r="B182" s="39" t="s">
        <v>182</v>
      </c>
      <c r="C182" s="40">
        <v>902</v>
      </c>
      <c r="D182" s="41" t="s">
        <v>48</v>
      </c>
      <c r="E182" s="41" t="s">
        <v>84</v>
      </c>
      <c r="F182" s="42" t="s">
        <v>183</v>
      </c>
      <c r="G182" s="41"/>
      <c r="H182" s="43">
        <f>H183</f>
        <v>100</v>
      </c>
    </row>
    <row r="183" spans="1:8" ht="35.25" customHeight="1" x14ac:dyDescent="0.25">
      <c r="A183" s="31"/>
      <c r="B183" s="39" t="s">
        <v>35</v>
      </c>
      <c r="C183" s="40">
        <v>902</v>
      </c>
      <c r="D183" s="41" t="s">
        <v>48</v>
      </c>
      <c r="E183" s="41" t="s">
        <v>84</v>
      </c>
      <c r="F183" s="42" t="s">
        <v>183</v>
      </c>
      <c r="G183" s="41" t="s">
        <v>36</v>
      </c>
      <c r="H183" s="43">
        <f>100</f>
        <v>100</v>
      </c>
    </row>
    <row r="184" spans="1:8" ht="81" customHeight="1" x14ac:dyDescent="0.25">
      <c r="A184" s="31"/>
      <c r="B184" s="53" t="s">
        <v>184</v>
      </c>
      <c r="C184" s="40">
        <v>902</v>
      </c>
      <c r="D184" s="41" t="s">
        <v>48</v>
      </c>
      <c r="E184" s="41" t="s">
        <v>84</v>
      </c>
      <c r="F184" s="42" t="s">
        <v>185</v>
      </c>
      <c r="G184" s="41"/>
      <c r="H184" s="43">
        <f>H185</f>
        <v>0</v>
      </c>
    </row>
    <row r="185" spans="1:8" ht="35.25" customHeight="1" x14ac:dyDescent="0.25">
      <c r="A185" s="31"/>
      <c r="B185" s="39" t="s">
        <v>35</v>
      </c>
      <c r="C185" s="40">
        <v>902</v>
      </c>
      <c r="D185" s="41" t="s">
        <v>48</v>
      </c>
      <c r="E185" s="41" t="s">
        <v>84</v>
      </c>
      <c r="F185" s="42" t="s">
        <v>185</v>
      </c>
      <c r="G185" s="41" t="s">
        <v>36</v>
      </c>
      <c r="H185" s="43">
        <f>3430.7-3430.7</f>
        <v>0</v>
      </c>
    </row>
    <row r="186" spans="1:8" ht="30.75" customHeight="1" x14ac:dyDescent="0.25">
      <c r="A186" s="31"/>
      <c r="B186" s="52" t="s">
        <v>182</v>
      </c>
      <c r="C186" s="40">
        <v>902</v>
      </c>
      <c r="D186" s="41" t="s">
        <v>48</v>
      </c>
      <c r="E186" s="41" t="s">
        <v>84</v>
      </c>
      <c r="F186" s="42" t="s">
        <v>186</v>
      </c>
      <c r="G186" s="41"/>
      <c r="H186" s="43">
        <f>H188</f>
        <v>0</v>
      </c>
    </row>
    <row r="187" spans="1:8" ht="30.75" customHeight="1" x14ac:dyDescent="0.25">
      <c r="A187" s="31"/>
      <c r="B187" s="52" t="s">
        <v>182</v>
      </c>
      <c r="C187" s="40">
        <v>902</v>
      </c>
      <c r="D187" s="41" t="s">
        <v>48</v>
      </c>
      <c r="E187" s="41" t="s">
        <v>84</v>
      </c>
      <c r="F187" s="42" t="s">
        <v>187</v>
      </c>
      <c r="G187" s="41"/>
      <c r="H187" s="43">
        <f>H188</f>
        <v>0</v>
      </c>
    </row>
    <row r="188" spans="1:8" ht="31.5" customHeight="1" x14ac:dyDescent="0.25">
      <c r="A188" s="31"/>
      <c r="B188" s="39" t="s">
        <v>35</v>
      </c>
      <c r="C188" s="40">
        <v>902</v>
      </c>
      <c r="D188" s="41" t="s">
        <v>48</v>
      </c>
      <c r="E188" s="41" t="s">
        <v>84</v>
      </c>
      <c r="F188" s="42" t="s">
        <v>187</v>
      </c>
      <c r="G188" s="41" t="s">
        <v>36</v>
      </c>
      <c r="H188" s="43"/>
    </row>
    <row r="189" spans="1:8" ht="23.25" customHeight="1" x14ac:dyDescent="0.25">
      <c r="A189" s="31"/>
      <c r="B189" s="39" t="s">
        <v>188</v>
      </c>
      <c r="C189" s="40">
        <v>902</v>
      </c>
      <c r="D189" s="41" t="s">
        <v>48</v>
      </c>
      <c r="E189" s="41" t="s">
        <v>84</v>
      </c>
      <c r="F189" s="42" t="s">
        <v>189</v>
      </c>
      <c r="G189" s="41"/>
      <c r="H189" s="43">
        <f>H190</f>
        <v>0</v>
      </c>
    </row>
    <row r="190" spans="1:8" ht="31.5" customHeight="1" x14ac:dyDescent="0.25">
      <c r="A190" s="31"/>
      <c r="B190" s="44" t="s">
        <v>190</v>
      </c>
      <c r="C190" s="40">
        <v>902</v>
      </c>
      <c r="D190" s="41" t="s">
        <v>48</v>
      </c>
      <c r="E190" s="41" t="s">
        <v>84</v>
      </c>
      <c r="F190" s="42" t="s">
        <v>191</v>
      </c>
      <c r="G190" s="41"/>
      <c r="H190" s="43">
        <f>H191</f>
        <v>0</v>
      </c>
    </row>
    <row r="191" spans="1:8" ht="19.5" customHeight="1" x14ac:dyDescent="0.25">
      <c r="A191" s="31"/>
      <c r="B191" s="39" t="s">
        <v>37</v>
      </c>
      <c r="C191" s="40">
        <v>902</v>
      </c>
      <c r="D191" s="41" t="s">
        <v>48</v>
      </c>
      <c r="E191" s="41" t="s">
        <v>84</v>
      </c>
      <c r="F191" s="42" t="s">
        <v>191</v>
      </c>
      <c r="G191" s="41" t="s">
        <v>38</v>
      </c>
      <c r="H191" s="43"/>
    </row>
    <row r="192" spans="1:8" ht="113.25" customHeight="1" x14ac:dyDescent="0.25">
      <c r="A192" s="31"/>
      <c r="B192" s="39" t="s">
        <v>192</v>
      </c>
      <c r="C192" s="40">
        <v>902</v>
      </c>
      <c r="D192" s="41" t="s">
        <v>48</v>
      </c>
      <c r="E192" s="41" t="s">
        <v>84</v>
      </c>
      <c r="F192" s="42" t="s">
        <v>193</v>
      </c>
      <c r="G192" s="41"/>
      <c r="H192" s="43">
        <f>H193</f>
        <v>7159</v>
      </c>
    </row>
    <row r="193" spans="1:8" ht="54.4" customHeight="1" x14ac:dyDescent="0.25">
      <c r="A193" s="31"/>
      <c r="B193" s="39" t="s">
        <v>194</v>
      </c>
      <c r="C193" s="40">
        <v>902</v>
      </c>
      <c r="D193" s="41" t="s">
        <v>48</v>
      </c>
      <c r="E193" s="41" t="s">
        <v>84</v>
      </c>
      <c r="F193" s="42" t="s">
        <v>195</v>
      </c>
      <c r="G193" s="41"/>
      <c r="H193" s="43">
        <f>H194+H196+H198+H200+H202</f>
        <v>7159</v>
      </c>
    </row>
    <row r="194" spans="1:8" ht="93" customHeight="1" x14ac:dyDescent="0.25">
      <c r="A194" s="31"/>
      <c r="B194" s="39" t="s">
        <v>196</v>
      </c>
      <c r="C194" s="40">
        <v>902</v>
      </c>
      <c r="D194" s="41" t="s">
        <v>48</v>
      </c>
      <c r="E194" s="41" t="s">
        <v>84</v>
      </c>
      <c r="F194" s="42" t="s">
        <v>197</v>
      </c>
      <c r="G194" s="41"/>
      <c r="H194" s="43">
        <f>H195</f>
        <v>4850</v>
      </c>
    </row>
    <row r="195" spans="1:8" ht="28.9" customHeight="1" x14ac:dyDescent="0.25">
      <c r="A195" s="31"/>
      <c r="B195" s="39" t="s">
        <v>37</v>
      </c>
      <c r="C195" s="40">
        <v>902</v>
      </c>
      <c r="D195" s="41" t="s">
        <v>48</v>
      </c>
      <c r="E195" s="41" t="s">
        <v>84</v>
      </c>
      <c r="F195" s="42" t="s">
        <v>197</v>
      </c>
      <c r="G195" s="41" t="s">
        <v>38</v>
      </c>
      <c r="H195" s="43">
        <f>5094.8-244.8</f>
        <v>4850</v>
      </c>
    </row>
    <row r="196" spans="1:8" ht="65.849999999999994" customHeight="1" x14ac:dyDescent="0.25">
      <c r="A196" s="31"/>
      <c r="B196" s="39" t="s">
        <v>198</v>
      </c>
      <c r="C196" s="40">
        <v>902</v>
      </c>
      <c r="D196" s="41" t="s">
        <v>48</v>
      </c>
      <c r="E196" s="41" t="s">
        <v>84</v>
      </c>
      <c r="F196" s="42" t="s">
        <v>199</v>
      </c>
      <c r="G196" s="41"/>
      <c r="H196" s="43">
        <f>H197</f>
        <v>350</v>
      </c>
    </row>
    <row r="197" spans="1:8" ht="21" customHeight="1" x14ac:dyDescent="0.25">
      <c r="A197" s="31"/>
      <c r="B197" s="39" t="s">
        <v>37</v>
      </c>
      <c r="C197" s="40">
        <v>902</v>
      </c>
      <c r="D197" s="41" t="s">
        <v>48</v>
      </c>
      <c r="E197" s="41" t="s">
        <v>84</v>
      </c>
      <c r="F197" s="42" t="s">
        <v>199</v>
      </c>
      <c r="G197" s="41" t="s">
        <v>38</v>
      </c>
      <c r="H197" s="43">
        <f>1975.2-1625.2</f>
        <v>350</v>
      </c>
    </row>
    <row r="198" spans="1:8" ht="79.900000000000006" customHeight="1" x14ac:dyDescent="0.25">
      <c r="A198" s="31"/>
      <c r="B198" s="39" t="s">
        <v>200</v>
      </c>
      <c r="C198" s="40">
        <v>902</v>
      </c>
      <c r="D198" s="41" t="s">
        <v>48</v>
      </c>
      <c r="E198" s="41" t="s">
        <v>84</v>
      </c>
      <c r="F198" s="42" t="s">
        <v>201</v>
      </c>
      <c r="G198" s="41"/>
      <c r="H198" s="43">
        <f>H199</f>
        <v>90</v>
      </c>
    </row>
    <row r="199" spans="1:8" ht="18.75" customHeight="1" x14ac:dyDescent="0.25">
      <c r="A199" s="31"/>
      <c r="B199" s="39" t="s">
        <v>37</v>
      </c>
      <c r="C199" s="40">
        <v>902</v>
      </c>
      <c r="D199" s="41" t="s">
        <v>48</v>
      </c>
      <c r="E199" s="41" t="s">
        <v>84</v>
      </c>
      <c r="F199" s="42" t="s">
        <v>201</v>
      </c>
      <c r="G199" s="41" t="s">
        <v>38</v>
      </c>
      <c r="H199" s="43">
        <f>89+1</f>
        <v>90</v>
      </c>
    </row>
    <row r="200" spans="1:8" ht="21" customHeight="1" x14ac:dyDescent="0.25">
      <c r="A200" s="31"/>
      <c r="B200" s="39" t="s">
        <v>202</v>
      </c>
      <c r="C200" s="40">
        <v>902</v>
      </c>
      <c r="D200" s="41" t="s">
        <v>48</v>
      </c>
      <c r="E200" s="41" t="s">
        <v>84</v>
      </c>
      <c r="F200" s="42" t="s">
        <v>203</v>
      </c>
      <c r="G200" s="41"/>
      <c r="H200" s="43">
        <f>H201</f>
        <v>95</v>
      </c>
    </row>
    <row r="201" spans="1:8" ht="21" customHeight="1" x14ac:dyDescent="0.25">
      <c r="A201" s="31"/>
      <c r="B201" s="39" t="s">
        <v>37</v>
      </c>
      <c r="C201" s="40">
        <v>902</v>
      </c>
      <c r="D201" s="41" t="s">
        <v>48</v>
      </c>
      <c r="E201" s="41" t="s">
        <v>84</v>
      </c>
      <c r="F201" s="42" t="s">
        <v>203</v>
      </c>
      <c r="G201" s="41" t="s">
        <v>38</v>
      </c>
      <c r="H201" s="43">
        <v>95</v>
      </c>
    </row>
    <row r="202" spans="1:8" ht="15" customHeight="1" x14ac:dyDescent="0.25">
      <c r="A202" s="39"/>
      <c r="B202" s="39" t="s">
        <v>204</v>
      </c>
      <c r="C202" s="40">
        <v>902</v>
      </c>
      <c r="D202" s="41" t="s">
        <v>48</v>
      </c>
      <c r="E202" s="41" t="s">
        <v>84</v>
      </c>
      <c r="F202" s="42" t="s">
        <v>205</v>
      </c>
      <c r="G202" s="41"/>
      <c r="H202" s="43">
        <f>H203</f>
        <v>1774</v>
      </c>
    </row>
    <row r="203" spans="1:8" ht="15.75" customHeight="1" x14ac:dyDescent="0.25">
      <c r="A203" s="39"/>
      <c r="B203" s="39" t="s">
        <v>37</v>
      </c>
      <c r="C203" s="40">
        <v>902</v>
      </c>
      <c r="D203" s="41" t="s">
        <v>48</v>
      </c>
      <c r="E203" s="41" t="s">
        <v>84</v>
      </c>
      <c r="F203" s="42" t="s">
        <v>205</v>
      </c>
      <c r="G203" s="41" t="s">
        <v>38</v>
      </c>
      <c r="H203" s="43">
        <v>1774</v>
      </c>
    </row>
    <row r="204" spans="1:8" ht="64.150000000000006" customHeight="1" x14ac:dyDescent="0.25">
      <c r="A204" s="31"/>
      <c r="B204" s="39" t="s">
        <v>206</v>
      </c>
      <c r="C204" s="40">
        <v>902</v>
      </c>
      <c r="D204" s="41" t="s">
        <v>48</v>
      </c>
      <c r="E204" s="41" t="s">
        <v>84</v>
      </c>
      <c r="F204" s="42" t="s">
        <v>207</v>
      </c>
      <c r="G204" s="41"/>
      <c r="H204" s="43">
        <f>H205+H207</f>
        <v>3450.7</v>
      </c>
    </row>
    <row r="205" spans="1:8" ht="81.75" customHeight="1" x14ac:dyDescent="0.25">
      <c r="A205" s="31"/>
      <c r="B205" s="39" t="s">
        <v>208</v>
      </c>
      <c r="C205" s="40">
        <v>902</v>
      </c>
      <c r="D205" s="41" t="s">
        <v>48</v>
      </c>
      <c r="E205" s="41" t="s">
        <v>84</v>
      </c>
      <c r="F205" s="42" t="s">
        <v>209</v>
      </c>
      <c r="G205" s="41"/>
      <c r="H205" s="43">
        <f>H206</f>
        <v>20</v>
      </c>
    </row>
    <row r="206" spans="1:8" ht="35.25" customHeight="1" x14ac:dyDescent="0.25">
      <c r="A206" s="31"/>
      <c r="B206" s="39" t="s">
        <v>35</v>
      </c>
      <c r="C206" s="40">
        <v>902</v>
      </c>
      <c r="D206" s="41" t="s">
        <v>48</v>
      </c>
      <c r="E206" s="41" t="s">
        <v>84</v>
      </c>
      <c r="F206" s="42" t="s">
        <v>209</v>
      </c>
      <c r="G206" s="41" t="s">
        <v>36</v>
      </c>
      <c r="H206" s="43">
        <v>20</v>
      </c>
    </row>
    <row r="207" spans="1:8" ht="99.75" customHeight="1" x14ac:dyDescent="0.25">
      <c r="A207" s="31"/>
      <c r="B207" s="39" t="s">
        <v>210</v>
      </c>
      <c r="C207" s="40">
        <v>902</v>
      </c>
      <c r="D207" s="41" t="s">
        <v>48</v>
      </c>
      <c r="E207" s="41" t="s">
        <v>84</v>
      </c>
      <c r="F207" s="42" t="s">
        <v>211</v>
      </c>
      <c r="G207" s="41"/>
      <c r="H207" s="43">
        <f>H208</f>
        <v>3430.7</v>
      </c>
    </row>
    <row r="208" spans="1:8" ht="35.25" customHeight="1" x14ac:dyDescent="0.25">
      <c r="A208" s="31"/>
      <c r="B208" s="39" t="s">
        <v>35</v>
      </c>
      <c r="C208" s="40">
        <v>902</v>
      </c>
      <c r="D208" s="41" t="s">
        <v>48</v>
      </c>
      <c r="E208" s="41" t="s">
        <v>84</v>
      </c>
      <c r="F208" s="42" t="s">
        <v>211</v>
      </c>
      <c r="G208" s="41" t="s">
        <v>36</v>
      </c>
      <c r="H208" s="43">
        <v>3430.7</v>
      </c>
    </row>
    <row r="209" spans="1:8" ht="20.25" customHeight="1" x14ac:dyDescent="0.25">
      <c r="A209" s="31"/>
      <c r="B209" s="39" t="s">
        <v>212</v>
      </c>
      <c r="C209" s="40">
        <v>902</v>
      </c>
      <c r="D209" s="41" t="s">
        <v>48</v>
      </c>
      <c r="E209" s="41" t="s">
        <v>213</v>
      </c>
      <c r="F209" s="42"/>
      <c r="G209" s="41"/>
      <c r="H209" s="43">
        <f>H210</f>
        <v>7894</v>
      </c>
    </row>
    <row r="210" spans="1:8" ht="33" customHeight="1" x14ac:dyDescent="0.25">
      <c r="A210" s="31"/>
      <c r="B210" s="39" t="s">
        <v>214</v>
      </c>
      <c r="C210" s="40">
        <v>902</v>
      </c>
      <c r="D210" s="41" t="s">
        <v>48</v>
      </c>
      <c r="E210" s="41" t="s">
        <v>213</v>
      </c>
      <c r="F210" s="42" t="s">
        <v>215</v>
      </c>
      <c r="G210" s="41"/>
      <c r="H210" s="43">
        <f>H211</f>
        <v>7894</v>
      </c>
    </row>
    <row r="211" spans="1:8" ht="18" customHeight="1" x14ac:dyDescent="0.25">
      <c r="A211" s="31"/>
      <c r="B211" s="39" t="s">
        <v>216</v>
      </c>
      <c r="C211" s="40">
        <v>902</v>
      </c>
      <c r="D211" s="41" t="s">
        <v>48</v>
      </c>
      <c r="E211" s="41" t="s">
        <v>213</v>
      </c>
      <c r="F211" s="42" t="s">
        <v>217</v>
      </c>
      <c r="G211" s="41"/>
      <c r="H211" s="43">
        <f>H212</f>
        <v>7894</v>
      </c>
    </row>
    <row r="212" spans="1:8" ht="49.5" customHeight="1" x14ac:dyDescent="0.25">
      <c r="A212" s="31"/>
      <c r="B212" s="39" t="s">
        <v>218</v>
      </c>
      <c r="C212" s="40">
        <v>902</v>
      </c>
      <c r="D212" s="41" t="s">
        <v>48</v>
      </c>
      <c r="E212" s="41" t="s">
        <v>213</v>
      </c>
      <c r="F212" s="42" t="s">
        <v>219</v>
      </c>
      <c r="G212" s="41"/>
      <c r="H212" s="43">
        <f>H213</f>
        <v>7894</v>
      </c>
    </row>
    <row r="213" spans="1:8" ht="19.5" customHeight="1" x14ac:dyDescent="0.25">
      <c r="A213" s="31"/>
      <c r="B213" s="39" t="s">
        <v>37</v>
      </c>
      <c r="C213" s="40">
        <v>902</v>
      </c>
      <c r="D213" s="41" t="s">
        <v>48</v>
      </c>
      <c r="E213" s="41" t="s">
        <v>213</v>
      </c>
      <c r="F213" s="42" t="s">
        <v>219</v>
      </c>
      <c r="G213" s="41" t="s">
        <v>38</v>
      </c>
      <c r="H213" s="43">
        <f>7894</f>
        <v>7894</v>
      </c>
    </row>
    <row r="214" spans="1:8" ht="19.5" customHeight="1" x14ac:dyDescent="0.25">
      <c r="A214" s="31"/>
      <c r="B214" s="39" t="s">
        <v>220</v>
      </c>
      <c r="C214" s="40">
        <v>902</v>
      </c>
      <c r="D214" s="41" t="s">
        <v>48</v>
      </c>
      <c r="E214" s="41" t="s">
        <v>135</v>
      </c>
      <c r="F214" s="42"/>
      <c r="G214" s="41"/>
      <c r="H214" s="43">
        <f>H215</f>
        <v>136093.1</v>
      </c>
    </row>
    <row r="215" spans="1:8" ht="33.75" customHeight="1" x14ac:dyDescent="0.25">
      <c r="A215" s="31"/>
      <c r="B215" s="46" t="s">
        <v>221</v>
      </c>
      <c r="C215" s="40">
        <v>902</v>
      </c>
      <c r="D215" s="41" t="s">
        <v>48</v>
      </c>
      <c r="E215" s="41" t="s">
        <v>135</v>
      </c>
      <c r="F215" s="42" t="s">
        <v>222</v>
      </c>
      <c r="G215" s="41"/>
      <c r="H215" s="43">
        <f>H216</f>
        <v>136093.1</v>
      </c>
    </row>
    <row r="216" spans="1:8" ht="28.9" customHeight="1" x14ac:dyDescent="0.25">
      <c r="A216" s="31"/>
      <c r="B216" s="46" t="s">
        <v>223</v>
      </c>
      <c r="C216" s="40">
        <v>902</v>
      </c>
      <c r="D216" s="41" t="s">
        <v>48</v>
      </c>
      <c r="E216" s="41" t="s">
        <v>135</v>
      </c>
      <c r="F216" s="42" t="s">
        <v>224</v>
      </c>
      <c r="G216" s="41"/>
      <c r="H216" s="43">
        <f>H217+H220</f>
        <v>136093.1</v>
      </c>
    </row>
    <row r="217" spans="1:8" ht="20.25" customHeight="1" x14ac:dyDescent="0.25">
      <c r="A217" s="31"/>
      <c r="B217" s="39" t="s">
        <v>225</v>
      </c>
      <c r="C217" s="40">
        <v>902</v>
      </c>
      <c r="D217" s="41" t="s">
        <v>48</v>
      </c>
      <c r="E217" s="41" t="s">
        <v>135</v>
      </c>
      <c r="F217" s="42" t="s">
        <v>226</v>
      </c>
      <c r="G217" s="41"/>
      <c r="H217" s="43">
        <f>H218+H219</f>
        <v>13797.899999999998</v>
      </c>
    </row>
    <row r="218" spans="1:8" ht="35.25" customHeight="1" x14ac:dyDescent="0.25">
      <c r="A218" s="31"/>
      <c r="B218" s="39" t="s">
        <v>35</v>
      </c>
      <c r="C218" s="40">
        <v>902</v>
      </c>
      <c r="D218" s="41" t="s">
        <v>48</v>
      </c>
      <c r="E218" s="41" t="s">
        <v>135</v>
      </c>
      <c r="F218" s="42" t="s">
        <v>226</v>
      </c>
      <c r="G218" s="41" t="s">
        <v>36</v>
      </c>
      <c r="H218" s="43">
        <f>9762.3+4005.3-9833.4+30.3</f>
        <v>3964.4999999999991</v>
      </c>
    </row>
    <row r="219" spans="1:8" ht="31.5" customHeight="1" x14ac:dyDescent="0.25">
      <c r="A219" s="31"/>
      <c r="B219" s="50" t="s">
        <v>227</v>
      </c>
      <c r="C219" s="40">
        <v>902</v>
      </c>
      <c r="D219" s="41" t="s">
        <v>48</v>
      </c>
      <c r="E219" s="41" t="s">
        <v>135</v>
      </c>
      <c r="F219" s="42" t="s">
        <v>226</v>
      </c>
      <c r="G219" s="41" t="s">
        <v>122</v>
      </c>
      <c r="H219" s="43">
        <v>9833.4</v>
      </c>
    </row>
    <row r="220" spans="1:8" ht="33.75" customHeight="1" x14ac:dyDescent="0.25">
      <c r="A220" s="31"/>
      <c r="B220" s="39" t="s">
        <v>228</v>
      </c>
      <c r="C220" s="40">
        <v>902</v>
      </c>
      <c r="D220" s="41" t="s">
        <v>48</v>
      </c>
      <c r="E220" s="41" t="s">
        <v>135</v>
      </c>
      <c r="F220" s="42" t="s">
        <v>229</v>
      </c>
      <c r="G220" s="41"/>
      <c r="H220" s="43">
        <f>H221</f>
        <v>122295.2</v>
      </c>
    </row>
    <row r="221" spans="1:8" ht="33.75" customHeight="1" x14ac:dyDescent="0.25">
      <c r="A221" s="31"/>
      <c r="B221" s="39" t="s">
        <v>35</v>
      </c>
      <c r="C221" s="40">
        <v>902</v>
      </c>
      <c r="D221" s="41" t="s">
        <v>48</v>
      </c>
      <c r="E221" s="41" t="s">
        <v>135</v>
      </c>
      <c r="F221" s="42" t="s">
        <v>229</v>
      </c>
      <c r="G221" s="41" t="s">
        <v>36</v>
      </c>
      <c r="H221" s="43">
        <f>116756.7+6145.1-576.3-30.3</f>
        <v>122295.2</v>
      </c>
    </row>
    <row r="222" spans="1:8" ht="18" customHeight="1" x14ac:dyDescent="0.25">
      <c r="A222" s="31"/>
      <c r="B222" s="44" t="s">
        <v>230</v>
      </c>
      <c r="C222" s="40">
        <v>902</v>
      </c>
      <c r="D222" s="41" t="s">
        <v>48</v>
      </c>
      <c r="E222" s="41" t="s">
        <v>143</v>
      </c>
      <c r="F222" s="42"/>
      <c r="G222" s="41"/>
      <c r="H222" s="43">
        <f>H223</f>
        <v>11106.7</v>
      </c>
    </row>
    <row r="223" spans="1:8" ht="21" customHeight="1" x14ac:dyDescent="0.25">
      <c r="A223" s="31"/>
      <c r="B223" s="39" t="s">
        <v>231</v>
      </c>
      <c r="C223" s="40">
        <v>902</v>
      </c>
      <c r="D223" s="41" t="s">
        <v>48</v>
      </c>
      <c r="E223" s="41" t="s">
        <v>143</v>
      </c>
      <c r="F223" s="42" t="s">
        <v>232</v>
      </c>
      <c r="G223" s="41"/>
      <c r="H223" s="43">
        <f>H224</f>
        <v>11106.7</v>
      </c>
    </row>
    <row r="224" spans="1:8" ht="28.9" customHeight="1" x14ac:dyDescent="0.25">
      <c r="A224" s="31"/>
      <c r="B224" s="44" t="s">
        <v>233</v>
      </c>
      <c r="C224" s="40">
        <v>902</v>
      </c>
      <c r="D224" s="41" t="s">
        <v>48</v>
      </c>
      <c r="E224" s="41" t="s">
        <v>143</v>
      </c>
      <c r="F224" s="42" t="s">
        <v>234</v>
      </c>
      <c r="G224" s="41"/>
      <c r="H224" s="43">
        <f>H225</f>
        <v>11106.7</v>
      </c>
    </row>
    <row r="225" spans="1:8" ht="33.75" customHeight="1" x14ac:dyDescent="0.25">
      <c r="A225" s="31"/>
      <c r="B225" s="44" t="s">
        <v>235</v>
      </c>
      <c r="C225" s="40">
        <v>902</v>
      </c>
      <c r="D225" s="41" t="s">
        <v>48</v>
      </c>
      <c r="E225" s="41" t="s">
        <v>143</v>
      </c>
      <c r="F225" s="42" t="s">
        <v>236</v>
      </c>
      <c r="G225" s="41"/>
      <c r="H225" s="43">
        <f>H226</f>
        <v>11106.7</v>
      </c>
    </row>
    <row r="226" spans="1:8" ht="35.25" customHeight="1" x14ac:dyDescent="0.25">
      <c r="A226" s="31"/>
      <c r="B226" s="39" t="s">
        <v>35</v>
      </c>
      <c r="C226" s="40">
        <v>902</v>
      </c>
      <c r="D226" s="41" t="s">
        <v>48</v>
      </c>
      <c r="E226" s="41" t="s">
        <v>143</v>
      </c>
      <c r="F226" s="42" t="s">
        <v>236</v>
      </c>
      <c r="G226" s="41" t="s">
        <v>36</v>
      </c>
      <c r="H226" s="43">
        <f>8958.7+2148</f>
        <v>11106.7</v>
      </c>
    </row>
    <row r="227" spans="1:8" ht="28.9" customHeight="1" x14ac:dyDescent="0.25">
      <c r="A227" s="31"/>
      <c r="B227" s="39" t="s">
        <v>237</v>
      </c>
      <c r="C227" s="40">
        <v>902</v>
      </c>
      <c r="D227" s="41" t="s">
        <v>48</v>
      </c>
      <c r="E227" s="41" t="s">
        <v>238</v>
      </c>
      <c r="F227" s="42"/>
      <c r="G227" s="41"/>
      <c r="H227" s="43">
        <f>H228+H236</f>
        <v>7638.1</v>
      </c>
    </row>
    <row r="228" spans="1:8" ht="36.75" customHeight="1" x14ac:dyDescent="0.25">
      <c r="A228" s="31"/>
      <c r="B228" s="39" t="s">
        <v>214</v>
      </c>
      <c r="C228" s="40">
        <v>902</v>
      </c>
      <c r="D228" s="41" t="s">
        <v>48</v>
      </c>
      <c r="E228" s="41" t="s">
        <v>238</v>
      </c>
      <c r="F228" s="42" t="s">
        <v>215</v>
      </c>
      <c r="G228" s="41"/>
      <c r="H228" s="43">
        <f>H229+H232</f>
        <v>2638.1</v>
      </c>
    </row>
    <row r="229" spans="1:8" ht="34.5" customHeight="1" x14ac:dyDescent="0.25">
      <c r="A229" s="31"/>
      <c r="B229" s="39" t="s">
        <v>239</v>
      </c>
      <c r="C229" s="40">
        <v>902</v>
      </c>
      <c r="D229" s="41" t="s">
        <v>48</v>
      </c>
      <c r="E229" s="41" t="s">
        <v>238</v>
      </c>
      <c r="F229" s="42" t="s">
        <v>240</v>
      </c>
      <c r="G229" s="41"/>
      <c r="H229" s="43">
        <f>H230</f>
        <v>670</v>
      </c>
    </row>
    <row r="230" spans="1:8" ht="33" customHeight="1" x14ac:dyDescent="0.25">
      <c r="A230" s="31"/>
      <c r="B230" s="39" t="s">
        <v>241</v>
      </c>
      <c r="C230" s="40">
        <v>902</v>
      </c>
      <c r="D230" s="41" t="s">
        <v>48</v>
      </c>
      <c r="E230" s="41" t="s">
        <v>238</v>
      </c>
      <c r="F230" s="42" t="s">
        <v>242</v>
      </c>
      <c r="G230" s="41"/>
      <c r="H230" s="43">
        <f>H231</f>
        <v>670</v>
      </c>
    </row>
    <row r="231" spans="1:8" ht="34.5" customHeight="1" x14ac:dyDescent="0.25">
      <c r="A231" s="31"/>
      <c r="B231" s="39" t="s">
        <v>35</v>
      </c>
      <c r="C231" s="40">
        <v>902</v>
      </c>
      <c r="D231" s="41" t="s">
        <v>48</v>
      </c>
      <c r="E231" s="41" t="s">
        <v>238</v>
      </c>
      <c r="F231" s="42" t="s">
        <v>242</v>
      </c>
      <c r="G231" s="41" t="s">
        <v>36</v>
      </c>
      <c r="H231" s="43">
        <f>670</f>
        <v>670</v>
      </c>
    </row>
    <row r="232" spans="1:8" ht="16.5" customHeight="1" x14ac:dyDescent="0.25">
      <c r="A232" s="31"/>
      <c r="B232" s="39" t="s">
        <v>243</v>
      </c>
      <c r="C232" s="40">
        <v>902</v>
      </c>
      <c r="D232" s="41" t="s">
        <v>48</v>
      </c>
      <c r="E232" s="41" t="s">
        <v>238</v>
      </c>
      <c r="F232" s="42" t="s">
        <v>217</v>
      </c>
      <c r="G232" s="41"/>
      <c r="H232" s="43">
        <f>H233</f>
        <v>1968.1</v>
      </c>
    </row>
    <row r="233" spans="1:8" ht="19.5" customHeight="1" x14ac:dyDescent="0.25">
      <c r="A233" s="31"/>
      <c r="B233" s="39" t="s">
        <v>243</v>
      </c>
      <c r="C233" s="40">
        <v>902</v>
      </c>
      <c r="D233" s="41" t="s">
        <v>48</v>
      </c>
      <c r="E233" s="41" t="s">
        <v>238</v>
      </c>
      <c r="F233" s="42" t="s">
        <v>244</v>
      </c>
      <c r="G233" s="41"/>
      <c r="H233" s="43">
        <f>H234+H235</f>
        <v>1968.1</v>
      </c>
    </row>
    <row r="234" spans="1:8" ht="35.25" customHeight="1" x14ac:dyDescent="0.25">
      <c r="A234" s="31"/>
      <c r="B234" s="39" t="s">
        <v>35</v>
      </c>
      <c r="C234" s="40">
        <v>902</v>
      </c>
      <c r="D234" s="41" t="s">
        <v>48</v>
      </c>
      <c r="E234" s="41" t="s">
        <v>238</v>
      </c>
      <c r="F234" s="42" t="s">
        <v>244</v>
      </c>
      <c r="G234" s="41" t="s">
        <v>36</v>
      </c>
      <c r="H234" s="43">
        <f>1344.1</f>
        <v>1344.1</v>
      </c>
    </row>
    <row r="235" spans="1:8" ht="28.9" customHeight="1" x14ac:dyDescent="0.25">
      <c r="A235" s="31"/>
      <c r="B235" s="39" t="s">
        <v>37</v>
      </c>
      <c r="C235" s="40">
        <v>902</v>
      </c>
      <c r="D235" s="41" t="s">
        <v>48</v>
      </c>
      <c r="E235" s="41" t="s">
        <v>238</v>
      </c>
      <c r="F235" s="42" t="s">
        <v>244</v>
      </c>
      <c r="G235" s="41" t="s">
        <v>38</v>
      </c>
      <c r="H235" s="43">
        <f>624</f>
        <v>624</v>
      </c>
    </row>
    <row r="236" spans="1:8" ht="28.9" customHeight="1" x14ac:dyDescent="0.25">
      <c r="A236" s="31"/>
      <c r="B236" s="39" t="s">
        <v>113</v>
      </c>
      <c r="C236" s="40">
        <v>902</v>
      </c>
      <c r="D236" s="41" t="s">
        <v>48</v>
      </c>
      <c r="E236" s="41" t="s">
        <v>238</v>
      </c>
      <c r="F236" s="42" t="s">
        <v>114</v>
      </c>
      <c r="G236" s="41"/>
      <c r="H236" s="43">
        <f>H237</f>
        <v>5000</v>
      </c>
    </row>
    <row r="237" spans="1:8" ht="28.9" customHeight="1" x14ac:dyDescent="0.25">
      <c r="A237" s="31"/>
      <c r="B237" s="39" t="s">
        <v>115</v>
      </c>
      <c r="C237" s="40">
        <v>902</v>
      </c>
      <c r="D237" s="41" t="s">
        <v>48</v>
      </c>
      <c r="E237" s="41" t="s">
        <v>238</v>
      </c>
      <c r="F237" s="42" t="s">
        <v>116</v>
      </c>
      <c r="G237" s="41"/>
      <c r="H237" s="43">
        <f>H238</f>
        <v>5000</v>
      </c>
    </row>
    <row r="238" spans="1:8" ht="28.9" customHeight="1" x14ac:dyDescent="0.25">
      <c r="A238" s="31"/>
      <c r="B238" s="39" t="s">
        <v>245</v>
      </c>
      <c r="C238" s="40">
        <v>902</v>
      </c>
      <c r="D238" s="41" t="s">
        <v>48</v>
      </c>
      <c r="E238" s="41" t="s">
        <v>238</v>
      </c>
      <c r="F238" s="42" t="s">
        <v>246</v>
      </c>
      <c r="G238" s="41"/>
      <c r="H238" s="43">
        <f>H239</f>
        <v>5000</v>
      </c>
    </row>
    <row r="239" spans="1:8" ht="34.5" customHeight="1" x14ac:dyDescent="0.25">
      <c r="A239" s="31"/>
      <c r="B239" s="39" t="s">
        <v>35</v>
      </c>
      <c r="C239" s="40">
        <v>902</v>
      </c>
      <c r="D239" s="41" t="s">
        <v>48</v>
      </c>
      <c r="E239" s="41" t="s">
        <v>238</v>
      </c>
      <c r="F239" s="42" t="s">
        <v>246</v>
      </c>
      <c r="G239" s="41" t="s">
        <v>36</v>
      </c>
      <c r="H239" s="43">
        <f>5000</f>
        <v>5000</v>
      </c>
    </row>
    <row r="240" spans="1:8" ht="21.75" customHeight="1" x14ac:dyDescent="0.25">
      <c r="A240" s="31"/>
      <c r="B240" s="39" t="s">
        <v>247</v>
      </c>
      <c r="C240" s="40">
        <v>902</v>
      </c>
      <c r="D240" s="41" t="s">
        <v>84</v>
      </c>
      <c r="E240" s="41" t="s">
        <v>19</v>
      </c>
      <c r="F240" s="42"/>
      <c r="G240" s="41"/>
      <c r="H240" s="43">
        <f>H265+H241+H246</f>
        <v>282078.40000000002</v>
      </c>
    </row>
    <row r="241" spans="1:8" ht="23.25" customHeight="1" x14ac:dyDescent="0.25">
      <c r="A241" s="31"/>
      <c r="B241" s="39" t="s">
        <v>248</v>
      </c>
      <c r="C241" s="40">
        <v>902</v>
      </c>
      <c r="D241" s="41" t="s">
        <v>84</v>
      </c>
      <c r="E241" s="41" t="s">
        <v>18</v>
      </c>
      <c r="F241" s="42"/>
      <c r="G241" s="41"/>
      <c r="H241" s="43">
        <f>H242</f>
        <v>48012.9</v>
      </c>
    </row>
    <row r="242" spans="1:8" ht="50.1" customHeight="1" x14ac:dyDescent="0.25">
      <c r="A242" s="31"/>
      <c r="B242" s="39" t="s">
        <v>249</v>
      </c>
      <c r="C242" s="40">
        <v>902</v>
      </c>
      <c r="D242" s="54" t="s">
        <v>84</v>
      </c>
      <c r="E242" s="54" t="s">
        <v>18</v>
      </c>
      <c r="F242" s="55" t="s">
        <v>250</v>
      </c>
      <c r="G242" s="54"/>
      <c r="H242" s="43">
        <f>H243</f>
        <v>48012.9</v>
      </c>
    </row>
    <row r="243" spans="1:8" ht="21" customHeight="1" x14ac:dyDescent="0.25">
      <c r="A243" s="31"/>
      <c r="B243" s="39" t="s">
        <v>251</v>
      </c>
      <c r="C243" s="40">
        <v>902</v>
      </c>
      <c r="D243" s="41" t="s">
        <v>84</v>
      </c>
      <c r="E243" s="41" t="s">
        <v>18</v>
      </c>
      <c r="F243" s="42" t="s">
        <v>252</v>
      </c>
      <c r="G243" s="41"/>
      <c r="H243" s="43">
        <f>H244</f>
        <v>48012.9</v>
      </c>
    </row>
    <row r="244" spans="1:8" ht="33" customHeight="1" x14ac:dyDescent="0.25">
      <c r="A244" s="31"/>
      <c r="B244" s="39" t="s">
        <v>253</v>
      </c>
      <c r="C244" s="40">
        <v>902</v>
      </c>
      <c r="D244" s="41" t="s">
        <v>84</v>
      </c>
      <c r="E244" s="41" t="s">
        <v>18</v>
      </c>
      <c r="F244" s="42" t="s">
        <v>254</v>
      </c>
      <c r="G244" s="41"/>
      <c r="H244" s="43">
        <f>H245</f>
        <v>48012.9</v>
      </c>
    </row>
    <row r="245" spans="1:8" ht="33" customHeight="1" x14ac:dyDescent="0.25">
      <c r="A245" s="31"/>
      <c r="B245" s="50" t="s">
        <v>227</v>
      </c>
      <c r="C245" s="40">
        <v>902</v>
      </c>
      <c r="D245" s="41" t="s">
        <v>84</v>
      </c>
      <c r="E245" s="41" t="s">
        <v>18</v>
      </c>
      <c r="F245" s="42" t="s">
        <v>254</v>
      </c>
      <c r="G245" s="41" t="s">
        <v>122</v>
      </c>
      <c r="H245" s="43">
        <f>45788.9+2224</f>
        <v>48012.9</v>
      </c>
    </row>
    <row r="246" spans="1:8" ht="23.25" customHeight="1" x14ac:dyDescent="0.25">
      <c r="A246" s="31"/>
      <c r="B246" s="39" t="s">
        <v>255</v>
      </c>
      <c r="C246" s="40">
        <v>902</v>
      </c>
      <c r="D246" s="41" t="s">
        <v>84</v>
      </c>
      <c r="E246" s="41" t="s">
        <v>41</v>
      </c>
      <c r="F246" s="42"/>
      <c r="G246" s="41"/>
      <c r="H246" s="43">
        <f>H251+H247+H259</f>
        <v>228848.90000000002</v>
      </c>
    </row>
    <row r="247" spans="1:8" ht="22.5" customHeight="1" x14ac:dyDescent="0.25">
      <c r="A247" s="31"/>
      <c r="B247" s="39" t="s">
        <v>256</v>
      </c>
      <c r="C247" s="40">
        <v>902</v>
      </c>
      <c r="D247" s="41" t="s">
        <v>84</v>
      </c>
      <c r="E247" s="41" t="s">
        <v>41</v>
      </c>
      <c r="F247" s="42" t="s">
        <v>257</v>
      </c>
      <c r="G247" s="41"/>
      <c r="H247" s="43">
        <f>H248</f>
        <v>11800</v>
      </c>
    </row>
    <row r="248" spans="1:8" ht="50.85" customHeight="1" x14ac:dyDescent="0.25">
      <c r="A248" s="31"/>
      <c r="B248" s="39" t="s">
        <v>258</v>
      </c>
      <c r="C248" s="40">
        <v>902</v>
      </c>
      <c r="D248" s="41" t="s">
        <v>84</v>
      </c>
      <c r="E248" s="41" t="s">
        <v>41</v>
      </c>
      <c r="F248" s="42" t="s">
        <v>259</v>
      </c>
      <c r="G248" s="41"/>
      <c r="H248" s="43">
        <f>H249</f>
        <v>11800</v>
      </c>
    </row>
    <row r="249" spans="1:8" ht="24" customHeight="1" x14ac:dyDescent="0.25">
      <c r="A249" s="31"/>
      <c r="B249" s="39" t="s">
        <v>260</v>
      </c>
      <c r="C249" s="40">
        <v>902</v>
      </c>
      <c r="D249" s="41" t="s">
        <v>84</v>
      </c>
      <c r="E249" s="41" t="s">
        <v>41</v>
      </c>
      <c r="F249" s="42" t="s">
        <v>261</v>
      </c>
      <c r="G249" s="41"/>
      <c r="H249" s="43">
        <f>H250</f>
        <v>11800</v>
      </c>
    </row>
    <row r="250" spans="1:8" ht="33" customHeight="1" x14ac:dyDescent="0.25">
      <c r="A250" s="31"/>
      <c r="B250" s="39" t="s">
        <v>35</v>
      </c>
      <c r="C250" s="40">
        <v>902</v>
      </c>
      <c r="D250" s="41" t="s">
        <v>84</v>
      </c>
      <c r="E250" s="41" t="s">
        <v>41</v>
      </c>
      <c r="F250" s="42" t="s">
        <v>261</v>
      </c>
      <c r="G250" s="41" t="s">
        <v>36</v>
      </c>
      <c r="H250" s="43">
        <f>11800</f>
        <v>11800</v>
      </c>
    </row>
    <row r="251" spans="1:8" ht="36" customHeight="1" x14ac:dyDescent="0.25">
      <c r="A251" s="31"/>
      <c r="B251" s="39" t="s">
        <v>262</v>
      </c>
      <c r="C251" s="40">
        <v>902</v>
      </c>
      <c r="D251" s="41" t="s">
        <v>84</v>
      </c>
      <c r="E251" s="41" t="s">
        <v>41</v>
      </c>
      <c r="F251" s="42" t="s">
        <v>215</v>
      </c>
      <c r="G251" s="41"/>
      <c r="H251" s="43">
        <f>H252</f>
        <v>185675.90000000002</v>
      </c>
    </row>
    <row r="252" spans="1:8" ht="20.25" customHeight="1" x14ac:dyDescent="0.25">
      <c r="A252" s="31"/>
      <c r="B252" s="39" t="s">
        <v>263</v>
      </c>
      <c r="C252" s="40">
        <v>902</v>
      </c>
      <c r="D252" s="41" t="s">
        <v>84</v>
      </c>
      <c r="E252" s="41" t="s">
        <v>41</v>
      </c>
      <c r="F252" s="42" t="s">
        <v>264</v>
      </c>
      <c r="G252" s="41"/>
      <c r="H252" s="43">
        <f>H253+H255+H257</f>
        <v>185675.90000000002</v>
      </c>
    </row>
    <row r="253" spans="1:8" ht="19.5" customHeight="1" x14ac:dyDescent="0.25">
      <c r="A253" s="31"/>
      <c r="B253" s="39" t="s">
        <v>123</v>
      </c>
      <c r="C253" s="40">
        <v>902</v>
      </c>
      <c r="D253" s="41" t="s">
        <v>84</v>
      </c>
      <c r="E253" s="41" t="s">
        <v>41</v>
      </c>
      <c r="F253" s="42" t="s">
        <v>265</v>
      </c>
      <c r="G253" s="41"/>
      <c r="H253" s="43">
        <f>H254</f>
        <v>388.3</v>
      </c>
    </row>
    <row r="254" spans="1:8" ht="33" customHeight="1" x14ac:dyDescent="0.25">
      <c r="A254" s="31"/>
      <c r="B254" s="50" t="s">
        <v>121</v>
      </c>
      <c r="C254" s="40">
        <v>902</v>
      </c>
      <c r="D254" s="41" t="s">
        <v>84</v>
      </c>
      <c r="E254" s="41" t="s">
        <v>41</v>
      </c>
      <c r="F254" s="42" t="s">
        <v>265</v>
      </c>
      <c r="G254" s="41" t="s">
        <v>122</v>
      </c>
      <c r="H254" s="43">
        <v>388.3</v>
      </c>
    </row>
    <row r="255" spans="1:8" ht="23.25" customHeight="1" x14ac:dyDescent="0.25">
      <c r="A255" s="31"/>
      <c r="B255" s="39" t="s">
        <v>266</v>
      </c>
      <c r="C255" s="40">
        <v>902</v>
      </c>
      <c r="D255" s="41" t="s">
        <v>84</v>
      </c>
      <c r="E255" s="41" t="s">
        <v>41</v>
      </c>
      <c r="F255" s="42" t="s">
        <v>267</v>
      </c>
      <c r="G255" s="41"/>
      <c r="H255" s="43">
        <f>H256</f>
        <v>53900</v>
      </c>
    </row>
    <row r="256" spans="1:8" ht="33.75" customHeight="1" x14ac:dyDescent="0.25">
      <c r="A256" s="31"/>
      <c r="B256" s="50" t="s">
        <v>121</v>
      </c>
      <c r="C256" s="40">
        <v>902</v>
      </c>
      <c r="D256" s="41" t="s">
        <v>84</v>
      </c>
      <c r="E256" s="41" t="s">
        <v>41</v>
      </c>
      <c r="F256" s="42" t="s">
        <v>267</v>
      </c>
      <c r="G256" s="41" t="s">
        <v>122</v>
      </c>
      <c r="H256" s="43">
        <v>53900</v>
      </c>
    </row>
    <row r="257" spans="1:8" ht="28.9" customHeight="1" x14ac:dyDescent="0.25">
      <c r="A257" s="31"/>
      <c r="B257" s="39" t="s">
        <v>268</v>
      </c>
      <c r="C257" s="40">
        <v>902</v>
      </c>
      <c r="D257" s="41" t="s">
        <v>84</v>
      </c>
      <c r="E257" s="41" t="s">
        <v>41</v>
      </c>
      <c r="F257" s="42" t="s">
        <v>269</v>
      </c>
      <c r="G257" s="41"/>
      <c r="H257" s="43">
        <f>H258</f>
        <v>131387.6</v>
      </c>
    </row>
    <row r="258" spans="1:8" ht="33.75" customHeight="1" x14ac:dyDescent="0.25">
      <c r="A258" s="31"/>
      <c r="B258" s="50" t="s">
        <v>121</v>
      </c>
      <c r="C258" s="40">
        <v>902</v>
      </c>
      <c r="D258" s="41" t="s">
        <v>84</v>
      </c>
      <c r="E258" s="41" t="s">
        <v>41</v>
      </c>
      <c r="F258" s="42" t="s">
        <v>269</v>
      </c>
      <c r="G258" s="41" t="s">
        <v>122</v>
      </c>
      <c r="H258" s="43">
        <f>124817.6+6570</f>
        <v>131387.6</v>
      </c>
    </row>
    <row r="259" spans="1:8" ht="28.9" customHeight="1" x14ac:dyDescent="0.25">
      <c r="A259" s="31"/>
      <c r="B259" s="39" t="s">
        <v>270</v>
      </c>
      <c r="C259" s="40">
        <v>902</v>
      </c>
      <c r="D259" s="41" t="s">
        <v>84</v>
      </c>
      <c r="E259" s="41" t="s">
        <v>41</v>
      </c>
      <c r="F259" s="42" t="s">
        <v>271</v>
      </c>
      <c r="G259" s="41"/>
      <c r="H259" s="43">
        <f>H260</f>
        <v>31373</v>
      </c>
    </row>
    <row r="260" spans="1:8" ht="28.9" customHeight="1" x14ac:dyDescent="0.25">
      <c r="A260" s="31"/>
      <c r="B260" s="39" t="s">
        <v>272</v>
      </c>
      <c r="C260" s="40">
        <v>902</v>
      </c>
      <c r="D260" s="41" t="s">
        <v>84</v>
      </c>
      <c r="E260" s="41" t="s">
        <v>41</v>
      </c>
      <c r="F260" s="42" t="s">
        <v>273</v>
      </c>
      <c r="G260" s="41"/>
      <c r="H260" s="43">
        <f>H261+H263</f>
        <v>31373</v>
      </c>
    </row>
    <row r="261" spans="1:8" ht="28.9" customHeight="1" x14ac:dyDescent="0.25">
      <c r="A261" s="31"/>
      <c r="B261" s="39" t="s">
        <v>274</v>
      </c>
      <c r="C261" s="40">
        <v>902</v>
      </c>
      <c r="D261" s="41" t="s">
        <v>84</v>
      </c>
      <c r="E261" s="41" t="s">
        <v>41</v>
      </c>
      <c r="F261" s="42" t="s">
        <v>275</v>
      </c>
      <c r="G261" s="41"/>
      <c r="H261" s="43">
        <f>H262</f>
        <v>110</v>
      </c>
    </row>
    <row r="262" spans="1:8" ht="28.9" customHeight="1" x14ac:dyDescent="0.25">
      <c r="A262" s="31"/>
      <c r="B262" s="39" t="s">
        <v>37</v>
      </c>
      <c r="C262" s="40">
        <v>902</v>
      </c>
      <c r="D262" s="41" t="s">
        <v>84</v>
      </c>
      <c r="E262" s="41" t="s">
        <v>41</v>
      </c>
      <c r="F262" s="42" t="s">
        <v>275</v>
      </c>
      <c r="G262" s="41" t="s">
        <v>38</v>
      </c>
      <c r="H262" s="43">
        <v>110</v>
      </c>
    </row>
    <row r="263" spans="1:8" ht="28.9" customHeight="1" x14ac:dyDescent="0.25">
      <c r="A263" s="31"/>
      <c r="B263" s="39" t="s">
        <v>276</v>
      </c>
      <c r="C263" s="40">
        <v>902</v>
      </c>
      <c r="D263" s="41" t="s">
        <v>84</v>
      </c>
      <c r="E263" s="41" t="s">
        <v>41</v>
      </c>
      <c r="F263" s="42" t="s">
        <v>277</v>
      </c>
      <c r="G263" s="41"/>
      <c r="H263" s="43">
        <f>H264</f>
        <v>31263</v>
      </c>
    </row>
    <row r="264" spans="1:8" ht="28.9" customHeight="1" x14ac:dyDescent="0.25">
      <c r="A264" s="31"/>
      <c r="B264" s="39" t="s">
        <v>37</v>
      </c>
      <c r="C264" s="40">
        <v>902</v>
      </c>
      <c r="D264" s="41" t="s">
        <v>84</v>
      </c>
      <c r="E264" s="41" t="s">
        <v>41</v>
      </c>
      <c r="F264" s="42" t="s">
        <v>277</v>
      </c>
      <c r="G264" s="41" t="s">
        <v>38</v>
      </c>
      <c r="H264" s="43">
        <v>31263</v>
      </c>
    </row>
    <row r="265" spans="1:8" ht="28.9" customHeight="1" x14ac:dyDescent="0.25">
      <c r="A265" s="31"/>
      <c r="B265" s="39" t="s">
        <v>278</v>
      </c>
      <c r="C265" s="40">
        <v>902</v>
      </c>
      <c r="D265" s="41" t="s">
        <v>84</v>
      </c>
      <c r="E265" s="41" t="s">
        <v>21</v>
      </c>
      <c r="F265" s="42"/>
      <c r="G265" s="41"/>
      <c r="H265" s="43">
        <f>H266</f>
        <v>5216.6000000000004</v>
      </c>
    </row>
    <row r="266" spans="1:8" ht="36" customHeight="1" x14ac:dyDescent="0.25">
      <c r="A266" s="31"/>
      <c r="B266" s="39" t="s">
        <v>279</v>
      </c>
      <c r="C266" s="40">
        <v>902</v>
      </c>
      <c r="D266" s="41" t="s">
        <v>84</v>
      </c>
      <c r="E266" s="41" t="s">
        <v>21</v>
      </c>
      <c r="F266" s="42" t="s">
        <v>257</v>
      </c>
      <c r="G266" s="41"/>
      <c r="H266" s="43">
        <f>H267</f>
        <v>5216.6000000000004</v>
      </c>
    </row>
    <row r="267" spans="1:8" ht="33.75" customHeight="1" x14ac:dyDescent="0.25">
      <c r="A267" s="31"/>
      <c r="B267" s="39" t="s">
        <v>280</v>
      </c>
      <c r="C267" s="40">
        <v>902</v>
      </c>
      <c r="D267" s="41" t="s">
        <v>84</v>
      </c>
      <c r="E267" s="41" t="s">
        <v>21</v>
      </c>
      <c r="F267" s="42" t="s">
        <v>281</v>
      </c>
      <c r="G267" s="41"/>
      <c r="H267" s="43">
        <f>H268+H270</f>
        <v>5216.6000000000004</v>
      </c>
    </row>
    <row r="268" spans="1:8" ht="53.65" customHeight="1" x14ac:dyDescent="0.25">
      <c r="A268" s="31"/>
      <c r="B268" s="39" t="s">
        <v>282</v>
      </c>
      <c r="C268" s="40">
        <v>902</v>
      </c>
      <c r="D268" s="41" t="s">
        <v>84</v>
      </c>
      <c r="E268" s="41" t="s">
        <v>21</v>
      </c>
      <c r="F268" s="42" t="s">
        <v>283</v>
      </c>
      <c r="G268" s="41"/>
      <c r="H268" s="43">
        <f>H269</f>
        <v>3626.6</v>
      </c>
    </row>
    <row r="269" spans="1:8" ht="34.5" customHeight="1" x14ac:dyDescent="0.25">
      <c r="A269" s="31"/>
      <c r="B269" s="39" t="s">
        <v>35</v>
      </c>
      <c r="C269" s="40">
        <v>902</v>
      </c>
      <c r="D269" s="41" t="s">
        <v>84</v>
      </c>
      <c r="E269" s="41" t="s">
        <v>21</v>
      </c>
      <c r="F269" s="42" t="s">
        <v>283</v>
      </c>
      <c r="G269" s="41" t="s">
        <v>36</v>
      </c>
      <c r="H269" s="43">
        <f>3706.1-79.5</f>
        <v>3626.6</v>
      </c>
    </row>
    <row r="270" spans="1:8" ht="53.25" customHeight="1" x14ac:dyDescent="0.25">
      <c r="A270" s="31"/>
      <c r="B270" s="39" t="s">
        <v>284</v>
      </c>
      <c r="C270" s="40">
        <v>902</v>
      </c>
      <c r="D270" s="41" t="s">
        <v>84</v>
      </c>
      <c r="E270" s="41" t="s">
        <v>21</v>
      </c>
      <c r="F270" s="42" t="s">
        <v>285</v>
      </c>
      <c r="G270" s="41"/>
      <c r="H270" s="43">
        <f>H271</f>
        <v>1590</v>
      </c>
    </row>
    <row r="271" spans="1:8" ht="35.25" customHeight="1" x14ac:dyDescent="0.25">
      <c r="A271" s="31"/>
      <c r="B271" s="39" t="s">
        <v>35</v>
      </c>
      <c r="C271" s="40">
        <v>902</v>
      </c>
      <c r="D271" s="41" t="s">
        <v>84</v>
      </c>
      <c r="E271" s="41" t="s">
        <v>21</v>
      </c>
      <c r="F271" s="42" t="s">
        <v>285</v>
      </c>
      <c r="G271" s="41" t="s">
        <v>36</v>
      </c>
      <c r="H271" s="43">
        <v>1590</v>
      </c>
    </row>
    <row r="272" spans="1:8" ht="28.9" customHeight="1" x14ac:dyDescent="0.25">
      <c r="A272" s="31"/>
      <c r="B272" s="39" t="s">
        <v>286</v>
      </c>
      <c r="C272" s="40">
        <v>902</v>
      </c>
      <c r="D272" s="41" t="s">
        <v>287</v>
      </c>
      <c r="E272" s="41" t="s">
        <v>19</v>
      </c>
      <c r="F272" s="42"/>
      <c r="G272" s="41"/>
      <c r="H272" s="43">
        <f>H273</f>
        <v>65291</v>
      </c>
    </row>
    <row r="273" spans="1:8" ht="28.9" customHeight="1" x14ac:dyDescent="0.25">
      <c r="A273" s="31"/>
      <c r="B273" s="39" t="s">
        <v>288</v>
      </c>
      <c r="C273" s="40">
        <v>902</v>
      </c>
      <c r="D273" s="41" t="s">
        <v>287</v>
      </c>
      <c r="E273" s="41" t="s">
        <v>84</v>
      </c>
      <c r="F273" s="42"/>
      <c r="G273" s="41"/>
      <c r="H273" s="43">
        <f>H274</f>
        <v>65291</v>
      </c>
    </row>
    <row r="274" spans="1:8" ht="34.5" customHeight="1" x14ac:dyDescent="0.25">
      <c r="A274" s="31"/>
      <c r="B274" s="39" t="s">
        <v>77</v>
      </c>
      <c r="C274" s="40">
        <v>902</v>
      </c>
      <c r="D274" s="41" t="s">
        <v>287</v>
      </c>
      <c r="E274" s="41" t="s">
        <v>84</v>
      </c>
      <c r="F274" s="42" t="s">
        <v>78</v>
      </c>
      <c r="G274" s="41"/>
      <c r="H274" s="43">
        <f>H275</f>
        <v>65291</v>
      </c>
    </row>
    <row r="275" spans="1:8" ht="28.9" customHeight="1" x14ac:dyDescent="0.25">
      <c r="A275" s="31"/>
      <c r="B275" s="39" t="s">
        <v>79</v>
      </c>
      <c r="C275" s="40">
        <v>902</v>
      </c>
      <c r="D275" s="41" t="s">
        <v>287</v>
      </c>
      <c r="E275" s="41" t="s">
        <v>84</v>
      </c>
      <c r="F275" s="42" t="s">
        <v>80</v>
      </c>
      <c r="G275" s="41"/>
      <c r="H275" s="43">
        <f>H276</f>
        <v>65291</v>
      </c>
    </row>
    <row r="276" spans="1:8" ht="106.5" customHeight="1" x14ac:dyDescent="0.25">
      <c r="A276" s="31"/>
      <c r="B276" s="39" t="s">
        <v>289</v>
      </c>
      <c r="C276" s="40">
        <v>902</v>
      </c>
      <c r="D276" s="41" t="s">
        <v>287</v>
      </c>
      <c r="E276" s="41" t="s">
        <v>84</v>
      </c>
      <c r="F276" s="42" t="s">
        <v>290</v>
      </c>
      <c r="G276" s="41"/>
      <c r="H276" s="43">
        <f>H277</f>
        <v>65291</v>
      </c>
    </row>
    <row r="277" spans="1:8" ht="33.75" customHeight="1" x14ac:dyDescent="0.25">
      <c r="A277" s="31"/>
      <c r="B277" s="39" t="s">
        <v>35</v>
      </c>
      <c r="C277" s="40">
        <v>902</v>
      </c>
      <c r="D277" s="41" t="s">
        <v>287</v>
      </c>
      <c r="E277" s="41" t="s">
        <v>84</v>
      </c>
      <c r="F277" s="42" t="s">
        <v>290</v>
      </c>
      <c r="G277" s="41" t="s">
        <v>36</v>
      </c>
      <c r="H277" s="43">
        <v>65291</v>
      </c>
    </row>
    <row r="278" spans="1:8" ht="28.9" customHeight="1" x14ac:dyDescent="0.25">
      <c r="A278" s="31"/>
      <c r="B278" s="44" t="s">
        <v>291</v>
      </c>
      <c r="C278" s="40">
        <v>902</v>
      </c>
      <c r="D278" s="41" t="s">
        <v>292</v>
      </c>
      <c r="E278" s="41" t="s">
        <v>19</v>
      </c>
      <c r="F278" s="42"/>
      <c r="G278" s="41"/>
      <c r="H278" s="43">
        <f>H279+H286</f>
        <v>244350.3</v>
      </c>
    </row>
    <row r="279" spans="1:8" ht="28.9" customHeight="1" x14ac:dyDescent="0.25">
      <c r="A279" s="31"/>
      <c r="B279" s="39" t="s">
        <v>293</v>
      </c>
      <c r="C279" s="40">
        <v>902</v>
      </c>
      <c r="D279" s="41" t="s">
        <v>292</v>
      </c>
      <c r="E279" s="41" t="s">
        <v>18</v>
      </c>
      <c r="F279" s="42"/>
      <c r="G279" s="41"/>
      <c r="H279" s="43">
        <f>H280</f>
        <v>244160.3</v>
      </c>
    </row>
    <row r="280" spans="1:8" ht="35.25" customHeight="1" x14ac:dyDescent="0.25">
      <c r="A280" s="31"/>
      <c r="B280" s="39" t="s">
        <v>262</v>
      </c>
      <c r="C280" s="40">
        <v>902</v>
      </c>
      <c r="D280" s="41" t="s">
        <v>292</v>
      </c>
      <c r="E280" s="41" t="s">
        <v>18</v>
      </c>
      <c r="F280" s="42" t="s">
        <v>215</v>
      </c>
      <c r="G280" s="41"/>
      <c r="H280" s="43">
        <f>H281</f>
        <v>244160.3</v>
      </c>
    </row>
    <row r="281" spans="1:8" ht="28.9" customHeight="1" x14ac:dyDescent="0.25">
      <c r="A281" s="31"/>
      <c r="B281" s="39" t="s">
        <v>123</v>
      </c>
      <c r="C281" s="40">
        <v>902</v>
      </c>
      <c r="D281" s="41" t="s">
        <v>292</v>
      </c>
      <c r="E281" s="41" t="s">
        <v>18</v>
      </c>
      <c r="F281" s="42" t="s">
        <v>264</v>
      </c>
      <c r="G281" s="41"/>
      <c r="H281" s="43">
        <f>H282+H284</f>
        <v>244160.3</v>
      </c>
    </row>
    <row r="282" spans="1:8" ht="62.25" customHeight="1" x14ac:dyDescent="0.25">
      <c r="A282" s="31"/>
      <c r="B282" s="39" t="s">
        <v>294</v>
      </c>
      <c r="C282" s="40">
        <v>902</v>
      </c>
      <c r="D282" s="41" t="s">
        <v>292</v>
      </c>
      <c r="E282" s="41" t="s">
        <v>18</v>
      </c>
      <c r="F282" s="42" t="s">
        <v>295</v>
      </c>
      <c r="G282" s="41"/>
      <c r="H282" s="43">
        <f>H283</f>
        <v>166474.6</v>
      </c>
    </row>
    <row r="283" spans="1:8" ht="36.75" customHeight="1" x14ac:dyDescent="0.25">
      <c r="A283" s="31"/>
      <c r="B283" s="44" t="s">
        <v>121</v>
      </c>
      <c r="C283" s="40">
        <v>902</v>
      </c>
      <c r="D283" s="41" t="s">
        <v>292</v>
      </c>
      <c r="E283" s="41" t="s">
        <v>18</v>
      </c>
      <c r="F283" s="42" t="s">
        <v>295</v>
      </c>
      <c r="G283" s="41" t="s">
        <v>122</v>
      </c>
      <c r="H283" s="43">
        <f>113092.8+5952.3+0.6+44936.5+2365.1+127.3</f>
        <v>166474.6</v>
      </c>
    </row>
    <row r="284" spans="1:8" ht="28.9" customHeight="1" x14ac:dyDescent="0.25">
      <c r="A284" s="31"/>
      <c r="B284" s="39" t="s">
        <v>123</v>
      </c>
      <c r="C284" s="40">
        <v>902</v>
      </c>
      <c r="D284" s="41" t="s">
        <v>292</v>
      </c>
      <c r="E284" s="41" t="s">
        <v>18</v>
      </c>
      <c r="F284" s="42" t="s">
        <v>265</v>
      </c>
      <c r="G284" s="41"/>
      <c r="H284" s="43">
        <f>H285</f>
        <v>77685.699999999983</v>
      </c>
    </row>
    <row r="285" spans="1:8" ht="35.25" customHeight="1" x14ac:dyDescent="0.25">
      <c r="A285" s="31"/>
      <c r="B285" s="44" t="s">
        <v>121</v>
      </c>
      <c r="C285" s="40">
        <v>902</v>
      </c>
      <c r="D285" s="41" t="s">
        <v>292</v>
      </c>
      <c r="E285" s="41" t="s">
        <v>18</v>
      </c>
      <c r="F285" s="42" t="s">
        <v>265</v>
      </c>
      <c r="G285" s="41" t="s">
        <v>122</v>
      </c>
      <c r="H285" s="43">
        <f>80178.7-0.6-2365.1-127.3</f>
        <v>77685.699999999983</v>
      </c>
    </row>
    <row r="286" spans="1:8" ht="28.9" customHeight="1" x14ac:dyDescent="0.25">
      <c r="A286" s="31"/>
      <c r="B286" s="39" t="s">
        <v>296</v>
      </c>
      <c r="C286" s="40">
        <v>902</v>
      </c>
      <c r="D286" s="41" t="s">
        <v>292</v>
      </c>
      <c r="E286" s="41" t="s">
        <v>135</v>
      </c>
      <c r="F286" s="42"/>
      <c r="G286" s="41"/>
      <c r="H286" s="43">
        <f>H287</f>
        <v>190</v>
      </c>
    </row>
    <row r="287" spans="1:8" ht="28.9" customHeight="1" x14ac:dyDescent="0.25">
      <c r="A287" s="31"/>
      <c r="B287" s="44" t="s">
        <v>297</v>
      </c>
      <c r="C287" s="40">
        <v>902</v>
      </c>
      <c r="D287" s="41" t="s">
        <v>292</v>
      </c>
      <c r="E287" s="41" t="s">
        <v>135</v>
      </c>
      <c r="F287" s="42" t="s">
        <v>298</v>
      </c>
      <c r="G287" s="41"/>
      <c r="H287" s="43">
        <f>H288</f>
        <v>190</v>
      </c>
    </row>
    <row r="288" spans="1:8" ht="28.9" customHeight="1" x14ac:dyDescent="0.25">
      <c r="A288" s="31"/>
      <c r="B288" s="44" t="s">
        <v>299</v>
      </c>
      <c r="C288" s="40">
        <v>902</v>
      </c>
      <c r="D288" s="41" t="s">
        <v>292</v>
      </c>
      <c r="E288" s="41" t="s">
        <v>135</v>
      </c>
      <c r="F288" s="42" t="s">
        <v>300</v>
      </c>
      <c r="G288" s="41"/>
      <c r="H288" s="43">
        <f>H289</f>
        <v>190</v>
      </c>
    </row>
    <row r="289" spans="1:8" ht="28.9" customHeight="1" x14ac:dyDescent="0.25">
      <c r="A289" s="31"/>
      <c r="B289" s="39" t="s">
        <v>301</v>
      </c>
      <c r="C289" s="40">
        <v>902</v>
      </c>
      <c r="D289" s="41" t="s">
        <v>292</v>
      </c>
      <c r="E289" s="41" t="s">
        <v>135</v>
      </c>
      <c r="F289" s="42" t="s">
        <v>302</v>
      </c>
      <c r="G289" s="41"/>
      <c r="H289" s="43">
        <f>H290</f>
        <v>190</v>
      </c>
    </row>
    <row r="290" spans="1:8" ht="28.9" customHeight="1" x14ac:dyDescent="0.25">
      <c r="A290" s="31"/>
      <c r="B290" s="39" t="s">
        <v>303</v>
      </c>
      <c r="C290" s="40">
        <v>902</v>
      </c>
      <c r="D290" s="41" t="s">
        <v>292</v>
      </c>
      <c r="E290" s="41" t="s">
        <v>135</v>
      </c>
      <c r="F290" s="42" t="s">
        <v>304</v>
      </c>
      <c r="G290" s="41"/>
      <c r="H290" s="43">
        <f>H291</f>
        <v>190</v>
      </c>
    </row>
    <row r="291" spans="1:8" ht="36" customHeight="1" x14ac:dyDescent="0.25">
      <c r="A291" s="31"/>
      <c r="B291" s="39" t="s">
        <v>35</v>
      </c>
      <c r="C291" s="40">
        <v>902</v>
      </c>
      <c r="D291" s="41" t="s">
        <v>292</v>
      </c>
      <c r="E291" s="41" t="s">
        <v>135</v>
      </c>
      <c r="F291" s="42" t="s">
        <v>304</v>
      </c>
      <c r="G291" s="41" t="s">
        <v>36</v>
      </c>
      <c r="H291" s="43">
        <f>190</f>
        <v>190</v>
      </c>
    </row>
    <row r="292" spans="1:8" ht="28.9" customHeight="1" x14ac:dyDescent="0.25">
      <c r="A292" s="31"/>
      <c r="B292" s="39" t="s">
        <v>305</v>
      </c>
      <c r="C292" s="40">
        <v>902</v>
      </c>
      <c r="D292" s="41" t="s">
        <v>213</v>
      </c>
      <c r="E292" s="41" t="s">
        <v>19</v>
      </c>
      <c r="F292" s="42"/>
      <c r="G292" s="41"/>
      <c r="H292" s="43">
        <f>H293</f>
        <v>610</v>
      </c>
    </row>
    <row r="293" spans="1:8" ht="28.9" customHeight="1" x14ac:dyDescent="0.25">
      <c r="A293" s="31"/>
      <c r="B293" s="39" t="s">
        <v>306</v>
      </c>
      <c r="C293" s="40">
        <v>902</v>
      </c>
      <c r="D293" s="41" t="s">
        <v>213</v>
      </c>
      <c r="E293" s="41" t="s">
        <v>18</v>
      </c>
      <c r="F293" s="42"/>
      <c r="G293" s="41"/>
      <c r="H293" s="43">
        <f>H294</f>
        <v>610</v>
      </c>
    </row>
    <row r="294" spans="1:8" ht="46.5" customHeight="1" x14ac:dyDescent="0.25">
      <c r="A294" s="31"/>
      <c r="B294" s="39" t="s">
        <v>89</v>
      </c>
      <c r="C294" s="40">
        <v>902</v>
      </c>
      <c r="D294" s="41" t="s">
        <v>213</v>
      </c>
      <c r="E294" s="41" t="s">
        <v>18</v>
      </c>
      <c r="F294" s="42" t="s">
        <v>90</v>
      </c>
      <c r="G294" s="41"/>
      <c r="H294" s="43">
        <f>H295+H298</f>
        <v>610</v>
      </c>
    </row>
    <row r="295" spans="1:8" ht="28.9" customHeight="1" x14ac:dyDescent="0.25">
      <c r="A295" s="31"/>
      <c r="B295" s="39" t="s">
        <v>307</v>
      </c>
      <c r="C295" s="40">
        <v>902</v>
      </c>
      <c r="D295" s="41" t="s">
        <v>213</v>
      </c>
      <c r="E295" s="41" t="s">
        <v>18</v>
      </c>
      <c r="F295" s="42" t="s">
        <v>308</v>
      </c>
      <c r="G295" s="41"/>
      <c r="H295" s="43">
        <f>H296</f>
        <v>410</v>
      </c>
    </row>
    <row r="296" spans="1:8" ht="28.9" customHeight="1" x14ac:dyDescent="0.25">
      <c r="A296" s="31"/>
      <c r="B296" s="39" t="s">
        <v>307</v>
      </c>
      <c r="C296" s="40">
        <v>902</v>
      </c>
      <c r="D296" s="41" t="s">
        <v>213</v>
      </c>
      <c r="E296" s="41" t="s">
        <v>18</v>
      </c>
      <c r="F296" s="42" t="s">
        <v>309</v>
      </c>
      <c r="G296" s="41"/>
      <c r="H296" s="43">
        <f>H297</f>
        <v>410</v>
      </c>
    </row>
    <row r="297" spans="1:8" ht="33.75" customHeight="1" x14ac:dyDescent="0.25">
      <c r="A297" s="31"/>
      <c r="B297" s="39" t="s">
        <v>35</v>
      </c>
      <c r="C297" s="40">
        <v>902</v>
      </c>
      <c r="D297" s="41" t="s">
        <v>213</v>
      </c>
      <c r="E297" s="41" t="s">
        <v>18</v>
      </c>
      <c r="F297" s="42" t="s">
        <v>309</v>
      </c>
      <c r="G297" s="41" t="s">
        <v>36</v>
      </c>
      <c r="H297" s="43">
        <f>410</f>
        <v>410</v>
      </c>
    </row>
    <row r="298" spans="1:8" ht="34.5" customHeight="1" x14ac:dyDescent="0.25">
      <c r="A298" s="31"/>
      <c r="B298" s="46" t="s">
        <v>310</v>
      </c>
      <c r="C298" s="40">
        <v>902</v>
      </c>
      <c r="D298" s="41" t="s">
        <v>213</v>
      </c>
      <c r="E298" s="41" t="s">
        <v>18</v>
      </c>
      <c r="F298" s="42" t="s">
        <v>311</v>
      </c>
      <c r="G298" s="41"/>
      <c r="H298" s="43">
        <f>H299</f>
        <v>200</v>
      </c>
    </row>
    <row r="299" spans="1:8" ht="28.9" customHeight="1" x14ac:dyDescent="0.25">
      <c r="A299" s="31"/>
      <c r="B299" s="39" t="s">
        <v>312</v>
      </c>
      <c r="C299" s="40">
        <v>902</v>
      </c>
      <c r="D299" s="41" t="s">
        <v>213</v>
      </c>
      <c r="E299" s="41" t="s">
        <v>18</v>
      </c>
      <c r="F299" s="42" t="s">
        <v>313</v>
      </c>
      <c r="G299" s="41"/>
      <c r="H299" s="43">
        <f>H300</f>
        <v>200</v>
      </c>
    </row>
    <row r="300" spans="1:8" ht="30.75" customHeight="1" x14ac:dyDescent="0.25">
      <c r="A300" s="31"/>
      <c r="B300" s="39" t="s">
        <v>35</v>
      </c>
      <c r="C300" s="40">
        <v>902</v>
      </c>
      <c r="D300" s="41" t="s">
        <v>213</v>
      </c>
      <c r="E300" s="41" t="s">
        <v>18</v>
      </c>
      <c r="F300" s="42" t="s">
        <v>313</v>
      </c>
      <c r="G300" s="41" t="s">
        <v>36</v>
      </c>
      <c r="H300" s="43">
        <v>200</v>
      </c>
    </row>
    <row r="301" spans="1:8" ht="28.5" customHeight="1" x14ac:dyDescent="0.25">
      <c r="A301" s="31"/>
      <c r="B301" s="39" t="s">
        <v>314</v>
      </c>
      <c r="C301" s="40">
        <v>902</v>
      </c>
      <c r="D301" s="41" t="s">
        <v>135</v>
      </c>
      <c r="E301" s="41" t="s">
        <v>19</v>
      </c>
      <c r="F301" s="42"/>
      <c r="G301" s="41"/>
      <c r="H301" s="43">
        <f t="shared" ref="H301:H306" si="1">H302</f>
        <v>615</v>
      </c>
    </row>
    <row r="302" spans="1:8" ht="28.9" customHeight="1" x14ac:dyDescent="0.25">
      <c r="A302" s="31"/>
      <c r="B302" s="39" t="s">
        <v>315</v>
      </c>
      <c r="C302" s="40">
        <v>902</v>
      </c>
      <c r="D302" s="41" t="s">
        <v>135</v>
      </c>
      <c r="E302" s="41" t="s">
        <v>41</v>
      </c>
      <c r="F302" s="42"/>
      <c r="G302" s="41"/>
      <c r="H302" s="43">
        <f t="shared" si="1"/>
        <v>615</v>
      </c>
    </row>
    <row r="303" spans="1:8" ht="31.5" customHeight="1" x14ac:dyDescent="0.25">
      <c r="A303" s="31"/>
      <c r="B303" s="39" t="s">
        <v>262</v>
      </c>
      <c r="C303" s="40">
        <v>902</v>
      </c>
      <c r="D303" s="41" t="s">
        <v>135</v>
      </c>
      <c r="E303" s="41" t="s">
        <v>41</v>
      </c>
      <c r="F303" s="42" t="s">
        <v>215</v>
      </c>
      <c r="G303" s="41"/>
      <c r="H303" s="43">
        <f t="shared" si="1"/>
        <v>615</v>
      </c>
    </row>
    <row r="304" spans="1:8" ht="22.5" customHeight="1" x14ac:dyDescent="0.25">
      <c r="A304" s="31"/>
      <c r="B304" s="39" t="s">
        <v>123</v>
      </c>
      <c r="C304" s="40">
        <v>902</v>
      </c>
      <c r="D304" s="41" t="s">
        <v>135</v>
      </c>
      <c r="E304" s="41" t="s">
        <v>41</v>
      </c>
      <c r="F304" s="42" t="s">
        <v>264</v>
      </c>
      <c r="G304" s="41"/>
      <c r="H304" s="43">
        <f t="shared" si="1"/>
        <v>615</v>
      </c>
    </row>
    <row r="305" spans="1:8" ht="33.75" customHeight="1" x14ac:dyDescent="0.25">
      <c r="A305" s="31"/>
      <c r="B305" s="56" t="s">
        <v>316</v>
      </c>
      <c r="C305" s="40">
        <v>902</v>
      </c>
      <c r="D305" s="41" t="s">
        <v>135</v>
      </c>
      <c r="E305" s="41" t="s">
        <v>41</v>
      </c>
      <c r="F305" s="42" t="s">
        <v>317</v>
      </c>
      <c r="G305" s="41"/>
      <c r="H305" s="43">
        <f t="shared" si="1"/>
        <v>615</v>
      </c>
    </row>
    <row r="306" spans="1:8" ht="146.25" customHeight="1" x14ac:dyDescent="0.25">
      <c r="A306" s="31"/>
      <c r="B306" s="39" t="s">
        <v>318</v>
      </c>
      <c r="C306" s="40">
        <v>902</v>
      </c>
      <c r="D306" s="41" t="s">
        <v>135</v>
      </c>
      <c r="E306" s="41" t="s">
        <v>41</v>
      </c>
      <c r="F306" s="42" t="s">
        <v>319</v>
      </c>
      <c r="G306" s="41"/>
      <c r="H306" s="43">
        <f t="shared" si="1"/>
        <v>615</v>
      </c>
    </row>
    <row r="307" spans="1:8" ht="35.25" customHeight="1" x14ac:dyDescent="0.25">
      <c r="A307" s="31"/>
      <c r="B307" s="39" t="s">
        <v>121</v>
      </c>
      <c r="C307" s="40">
        <v>902</v>
      </c>
      <c r="D307" s="41" t="s">
        <v>135</v>
      </c>
      <c r="E307" s="41" t="s">
        <v>41</v>
      </c>
      <c r="F307" s="42" t="s">
        <v>319</v>
      </c>
      <c r="G307" s="41" t="s">
        <v>122</v>
      </c>
      <c r="H307" s="43">
        <f>850-235</f>
        <v>615</v>
      </c>
    </row>
    <row r="308" spans="1:8" ht="28.9" customHeight="1" x14ac:dyDescent="0.25">
      <c r="A308" s="31"/>
      <c r="B308" s="39" t="s">
        <v>320</v>
      </c>
      <c r="C308" s="40">
        <v>902</v>
      </c>
      <c r="D308" s="41" t="s">
        <v>143</v>
      </c>
      <c r="E308" s="41" t="s">
        <v>19</v>
      </c>
      <c r="F308" s="42"/>
      <c r="G308" s="41"/>
      <c r="H308" s="43">
        <f>H309+H315+H332+H344</f>
        <v>221549</v>
      </c>
    </row>
    <row r="309" spans="1:8" ht="28.9" customHeight="1" x14ac:dyDescent="0.25">
      <c r="A309" s="31"/>
      <c r="B309" s="39" t="s">
        <v>321</v>
      </c>
      <c r="C309" s="40">
        <v>902</v>
      </c>
      <c r="D309" s="41" t="s">
        <v>143</v>
      </c>
      <c r="E309" s="41" t="s">
        <v>18</v>
      </c>
      <c r="F309" s="42"/>
      <c r="G309" s="41"/>
      <c r="H309" s="43">
        <f>H310</f>
        <v>13776.8</v>
      </c>
    </row>
    <row r="310" spans="1:8" ht="28.9" customHeight="1" x14ac:dyDescent="0.25">
      <c r="A310" s="31"/>
      <c r="B310" s="39" t="s">
        <v>55</v>
      </c>
      <c r="C310" s="40">
        <v>902</v>
      </c>
      <c r="D310" s="41" t="s">
        <v>143</v>
      </c>
      <c r="E310" s="41" t="s">
        <v>18</v>
      </c>
      <c r="F310" s="42" t="s">
        <v>56</v>
      </c>
      <c r="G310" s="41"/>
      <c r="H310" s="43">
        <f>H311</f>
        <v>13776.8</v>
      </c>
    </row>
    <row r="311" spans="1:8" ht="33.75" customHeight="1" x14ac:dyDescent="0.25">
      <c r="A311" s="31"/>
      <c r="B311" s="39" t="s">
        <v>322</v>
      </c>
      <c r="C311" s="40">
        <v>902</v>
      </c>
      <c r="D311" s="41" t="s">
        <v>143</v>
      </c>
      <c r="E311" s="41" t="s">
        <v>18</v>
      </c>
      <c r="F311" s="42" t="s">
        <v>323</v>
      </c>
      <c r="G311" s="41"/>
      <c r="H311" s="43">
        <f>H312</f>
        <v>13776.8</v>
      </c>
    </row>
    <row r="312" spans="1:8" ht="28.9" customHeight="1" x14ac:dyDescent="0.25">
      <c r="A312" s="31"/>
      <c r="B312" s="39" t="s">
        <v>324</v>
      </c>
      <c r="C312" s="40">
        <v>902</v>
      </c>
      <c r="D312" s="41" t="s">
        <v>143</v>
      </c>
      <c r="E312" s="41" t="s">
        <v>18</v>
      </c>
      <c r="F312" s="42" t="s">
        <v>325</v>
      </c>
      <c r="G312" s="41"/>
      <c r="H312" s="43">
        <f>H314+H313</f>
        <v>13776.8</v>
      </c>
    </row>
    <row r="313" spans="1:8" ht="34.5" customHeight="1" x14ac:dyDescent="0.25">
      <c r="A313" s="31"/>
      <c r="B313" s="39" t="s">
        <v>35</v>
      </c>
      <c r="C313" s="40">
        <v>902</v>
      </c>
      <c r="D313" s="41" t="s">
        <v>143</v>
      </c>
      <c r="E313" s="41" t="s">
        <v>18</v>
      </c>
      <c r="F313" s="42" t="s">
        <v>325</v>
      </c>
      <c r="G313" s="41" t="s">
        <v>36</v>
      </c>
      <c r="H313" s="43">
        <f>68.9</f>
        <v>68.900000000000006</v>
      </c>
    </row>
    <row r="314" spans="1:8" ht="28.9" customHeight="1" x14ac:dyDescent="0.25">
      <c r="A314" s="31"/>
      <c r="B314" s="39" t="s">
        <v>30</v>
      </c>
      <c r="C314" s="40">
        <v>902</v>
      </c>
      <c r="D314" s="41" t="s">
        <v>143</v>
      </c>
      <c r="E314" s="41" t="s">
        <v>18</v>
      </c>
      <c r="F314" s="42" t="s">
        <v>325</v>
      </c>
      <c r="G314" s="41" t="s">
        <v>31</v>
      </c>
      <c r="H314" s="43">
        <f>13707.9</f>
        <v>13707.9</v>
      </c>
    </row>
    <row r="315" spans="1:8" ht="28.9" customHeight="1" x14ac:dyDescent="0.25">
      <c r="A315" s="31"/>
      <c r="B315" s="39" t="s">
        <v>326</v>
      </c>
      <c r="C315" s="40">
        <v>902</v>
      </c>
      <c r="D315" s="41" t="s">
        <v>143</v>
      </c>
      <c r="E315" s="41" t="s">
        <v>21</v>
      </c>
      <c r="F315" s="42"/>
      <c r="G315" s="41"/>
      <c r="H315" s="43">
        <f>H316+H320+H324</f>
        <v>88387.900000000009</v>
      </c>
    </row>
    <row r="316" spans="1:8" ht="56.25" customHeight="1" x14ac:dyDescent="0.25">
      <c r="A316" s="31"/>
      <c r="B316" s="39" t="s">
        <v>89</v>
      </c>
      <c r="C316" s="40">
        <v>902</v>
      </c>
      <c r="D316" s="41" t="s">
        <v>143</v>
      </c>
      <c r="E316" s="41" t="s">
        <v>21</v>
      </c>
      <c r="F316" s="42" t="s">
        <v>90</v>
      </c>
      <c r="G316" s="41"/>
      <c r="H316" s="43">
        <f>H317</f>
        <v>2400</v>
      </c>
    </row>
    <row r="317" spans="1:8" ht="33.75" customHeight="1" x14ac:dyDescent="0.25">
      <c r="A317" s="31"/>
      <c r="B317" s="39" t="s">
        <v>327</v>
      </c>
      <c r="C317" s="40">
        <v>902</v>
      </c>
      <c r="D317" s="41" t="s">
        <v>143</v>
      </c>
      <c r="E317" s="41" t="s">
        <v>21</v>
      </c>
      <c r="F317" s="42" t="s">
        <v>328</v>
      </c>
      <c r="G317" s="41"/>
      <c r="H317" s="43">
        <f>H318</f>
        <v>2400</v>
      </c>
    </row>
    <row r="318" spans="1:8" ht="35.25" customHeight="1" x14ac:dyDescent="0.25">
      <c r="A318" s="31"/>
      <c r="B318" s="39" t="s">
        <v>327</v>
      </c>
      <c r="C318" s="40">
        <v>902</v>
      </c>
      <c r="D318" s="41" t="s">
        <v>143</v>
      </c>
      <c r="E318" s="41" t="s">
        <v>21</v>
      </c>
      <c r="F318" s="42" t="s">
        <v>329</v>
      </c>
      <c r="G318" s="41"/>
      <c r="H318" s="43">
        <f>H319</f>
        <v>2400</v>
      </c>
    </row>
    <row r="319" spans="1:8" ht="40.5" customHeight="1" x14ac:dyDescent="0.25">
      <c r="A319" s="31"/>
      <c r="B319" s="39" t="s">
        <v>147</v>
      </c>
      <c r="C319" s="40">
        <v>902</v>
      </c>
      <c r="D319" s="41" t="s">
        <v>143</v>
      </c>
      <c r="E319" s="41" t="s">
        <v>21</v>
      </c>
      <c r="F319" s="42" t="s">
        <v>329</v>
      </c>
      <c r="G319" s="41" t="s">
        <v>148</v>
      </c>
      <c r="H319" s="43">
        <f>2400</f>
        <v>2400</v>
      </c>
    </row>
    <row r="320" spans="1:8" ht="28.9" customHeight="1" x14ac:dyDescent="0.25">
      <c r="A320" s="31"/>
      <c r="B320" s="39" t="s">
        <v>330</v>
      </c>
      <c r="C320" s="40">
        <v>902</v>
      </c>
      <c r="D320" s="41" t="s">
        <v>143</v>
      </c>
      <c r="E320" s="41" t="s">
        <v>21</v>
      </c>
      <c r="F320" s="42" t="s">
        <v>331</v>
      </c>
      <c r="G320" s="41"/>
      <c r="H320" s="43">
        <f>H321</f>
        <v>1401.7999999999997</v>
      </c>
    </row>
    <row r="321" spans="1:8" ht="38.25" customHeight="1" x14ac:dyDescent="0.25">
      <c r="A321" s="31"/>
      <c r="B321" s="39" t="s">
        <v>332</v>
      </c>
      <c r="C321" s="40">
        <v>902</v>
      </c>
      <c r="D321" s="41" t="s">
        <v>143</v>
      </c>
      <c r="E321" s="41" t="s">
        <v>21</v>
      </c>
      <c r="F321" s="42" t="s">
        <v>333</v>
      </c>
      <c r="G321" s="41"/>
      <c r="H321" s="43">
        <f>H322</f>
        <v>1401.7999999999997</v>
      </c>
    </row>
    <row r="322" spans="1:8" ht="36" customHeight="1" x14ac:dyDescent="0.25">
      <c r="A322" s="31"/>
      <c r="B322" s="39" t="s">
        <v>334</v>
      </c>
      <c r="C322" s="40">
        <v>902</v>
      </c>
      <c r="D322" s="41" t="s">
        <v>143</v>
      </c>
      <c r="E322" s="41" t="s">
        <v>21</v>
      </c>
      <c r="F322" s="42" t="s">
        <v>335</v>
      </c>
      <c r="G322" s="41"/>
      <c r="H322" s="43">
        <f>H323</f>
        <v>1401.7999999999997</v>
      </c>
    </row>
    <row r="323" spans="1:8" ht="28.9" customHeight="1" x14ac:dyDescent="0.25">
      <c r="A323" s="31"/>
      <c r="B323" s="39" t="s">
        <v>30</v>
      </c>
      <c r="C323" s="40">
        <v>902</v>
      </c>
      <c r="D323" s="41" t="s">
        <v>143</v>
      </c>
      <c r="E323" s="41" t="s">
        <v>21</v>
      </c>
      <c r="F323" s="42" t="s">
        <v>335</v>
      </c>
      <c r="G323" s="41" t="s">
        <v>31</v>
      </c>
      <c r="H323" s="43">
        <f>235.2+737.1+295.4+134.1</f>
        <v>1401.7999999999997</v>
      </c>
    </row>
    <row r="324" spans="1:8" ht="31.5" customHeight="1" x14ac:dyDescent="0.25">
      <c r="A324" s="31"/>
      <c r="B324" s="39" t="s">
        <v>77</v>
      </c>
      <c r="C324" s="40">
        <v>902</v>
      </c>
      <c r="D324" s="41" t="s">
        <v>143</v>
      </c>
      <c r="E324" s="41" t="s">
        <v>21</v>
      </c>
      <c r="F324" s="42" t="s">
        <v>78</v>
      </c>
      <c r="G324" s="41"/>
      <c r="H324" s="43">
        <f>H325</f>
        <v>84586.1</v>
      </c>
    </row>
    <row r="325" spans="1:8" ht="18" customHeight="1" x14ac:dyDescent="0.25">
      <c r="A325" s="31"/>
      <c r="B325" s="39" t="s">
        <v>79</v>
      </c>
      <c r="C325" s="40">
        <v>902</v>
      </c>
      <c r="D325" s="41" t="s">
        <v>143</v>
      </c>
      <c r="E325" s="41" t="s">
        <v>21</v>
      </c>
      <c r="F325" s="42" t="s">
        <v>80</v>
      </c>
      <c r="G325" s="41"/>
      <c r="H325" s="43">
        <f>H326+H328+H330</f>
        <v>84586.1</v>
      </c>
    </row>
    <row r="326" spans="1:8" ht="77.25" customHeight="1" x14ac:dyDescent="0.25">
      <c r="A326" s="31"/>
      <c r="B326" s="39" t="s">
        <v>336</v>
      </c>
      <c r="C326" s="40">
        <v>902</v>
      </c>
      <c r="D326" s="41" t="s">
        <v>143</v>
      </c>
      <c r="E326" s="41" t="s">
        <v>21</v>
      </c>
      <c r="F326" s="42" t="s">
        <v>337</v>
      </c>
      <c r="G326" s="41"/>
      <c r="H326" s="43">
        <f>H327</f>
        <v>1586.1</v>
      </c>
    </row>
    <row r="327" spans="1:8" ht="18" customHeight="1" x14ac:dyDescent="0.25">
      <c r="A327" s="31"/>
      <c r="B327" s="39" t="s">
        <v>30</v>
      </c>
      <c r="C327" s="40">
        <v>902</v>
      </c>
      <c r="D327" s="41" t="s">
        <v>143</v>
      </c>
      <c r="E327" s="41" t="s">
        <v>21</v>
      </c>
      <c r="F327" s="42" t="s">
        <v>337</v>
      </c>
      <c r="G327" s="41" t="s">
        <v>31</v>
      </c>
      <c r="H327" s="43">
        <v>1586.1</v>
      </c>
    </row>
    <row r="328" spans="1:8" ht="78.95" customHeight="1" x14ac:dyDescent="0.25">
      <c r="A328" s="31"/>
      <c r="B328" s="39" t="s">
        <v>338</v>
      </c>
      <c r="C328" s="40">
        <v>902</v>
      </c>
      <c r="D328" s="41" t="s">
        <v>143</v>
      </c>
      <c r="E328" s="41" t="s">
        <v>21</v>
      </c>
      <c r="F328" s="42" t="s">
        <v>339</v>
      </c>
      <c r="G328" s="41"/>
      <c r="H328" s="43">
        <f>H329</f>
        <v>83000</v>
      </c>
    </row>
    <row r="329" spans="1:8" ht="21.75" customHeight="1" x14ac:dyDescent="0.25">
      <c r="A329" s="31"/>
      <c r="B329" s="39" t="s">
        <v>30</v>
      </c>
      <c r="C329" s="40">
        <v>902</v>
      </c>
      <c r="D329" s="41" t="s">
        <v>143</v>
      </c>
      <c r="E329" s="41" t="s">
        <v>21</v>
      </c>
      <c r="F329" s="42" t="s">
        <v>339</v>
      </c>
      <c r="G329" s="41" t="s">
        <v>31</v>
      </c>
      <c r="H329" s="43">
        <f>40000+10000+2000+1000+10000+20000</f>
        <v>83000</v>
      </c>
    </row>
    <row r="330" spans="1:8" ht="62.25" customHeight="1" x14ac:dyDescent="0.25">
      <c r="A330" s="31"/>
      <c r="B330" s="39" t="s">
        <v>340</v>
      </c>
      <c r="C330" s="40">
        <v>902</v>
      </c>
      <c r="D330" s="41" t="s">
        <v>143</v>
      </c>
      <c r="E330" s="41" t="s">
        <v>21</v>
      </c>
      <c r="F330" s="42" t="s">
        <v>341</v>
      </c>
      <c r="G330" s="41"/>
      <c r="H330" s="43">
        <f>H331</f>
        <v>0</v>
      </c>
    </row>
    <row r="331" spans="1:8" ht="28.9" customHeight="1" x14ac:dyDescent="0.25">
      <c r="A331" s="31"/>
      <c r="B331" s="39" t="s">
        <v>30</v>
      </c>
      <c r="C331" s="40">
        <v>902</v>
      </c>
      <c r="D331" s="41" t="s">
        <v>143</v>
      </c>
      <c r="E331" s="41" t="s">
        <v>21</v>
      </c>
      <c r="F331" s="42" t="s">
        <v>341</v>
      </c>
      <c r="G331" s="41" t="s">
        <v>31</v>
      </c>
      <c r="H331" s="43"/>
    </row>
    <row r="332" spans="1:8" ht="28.9" customHeight="1" x14ac:dyDescent="0.25">
      <c r="A332" s="31"/>
      <c r="B332" s="39" t="s">
        <v>342</v>
      </c>
      <c r="C332" s="40">
        <v>902</v>
      </c>
      <c r="D332" s="41" t="s">
        <v>143</v>
      </c>
      <c r="E332" s="41" t="s">
        <v>48</v>
      </c>
      <c r="F332" s="42"/>
      <c r="G332" s="41"/>
      <c r="H332" s="43">
        <f>H333+H340</f>
        <v>119224.29999999999</v>
      </c>
    </row>
    <row r="333" spans="1:8" ht="28.9" customHeight="1" x14ac:dyDescent="0.25">
      <c r="A333" s="31"/>
      <c r="B333" s="44" t="s">
        <v>297</v>
      </c>
      <c r="C333" s="40">
        <v>902</v>
      </c>
      <c r="D333" s="41" t="s">
        <v>143</v>
      </c>
      <c r="E333" s="41" t="s">
        <v>48</v>
      </c>
      <c r="F333" s="42" t="s">
        <v>298</v>
      </c>
      <c r="G333" s="41"/>
      <c r="H333" s="43">
        <f>H334</f>
        <v>91905.599999999991</v>
      </c>
    </row>
    <row r="334" spans="1:8" ht="28.9" customHeight="1" x14ac:dyDescent="0.25">
      <c r="A334" s="31"/>
      <c r="B334" s="44" t="s">
        <v>343</v>
      </c>
      <c r="C334" s="40">
        <v>902</v>
      </c>
      <c r="D334" s="41" t="s">
        <v>143</v>
      </c>
      <c r="E334" s="41" t="s">
        <v>48</v>
      </c>
      <c r="F334" s="42" t="s">
        <v>344</v>
      </c>
      <c r="G334" s="41"/>
      <c r="H334" s="43">
        <f>H338+H335</f>
        <v>91905.599999999991</v>
      </c>
    </row>
    <row r="335" spans="1:8" ht="48" customHeight="1" x14ac:dyDescent="0.25">
      <c r="A335" s="31"/>
      <c r="B335" s="39" t="s">
        <v>345</v>
      </c>
      <c r="C335" s="40">
        <v>902</v>
      </c>
      <c r="D335" s="41" t="s">
        <v>143</v>
      </c>
      <c r="E335" s="41" t="s">
        <v>48</v>
      </c>
      <c r="F335" s="42" t="s">
        <v>346</v>
      </c>
      <c r="G335" s="41"/>
      <c r="H335" s="43">
        <f>H336+H337</f>
        <v>91905.599999999991</v>
      </c>
    </row>
    <row r="336" spans="1:8" ht="34.5" customHeight="1" x14ac:dyDescent="0.25">
      <c r="A336" s="31"/>
      <c r="B336" s="39" t="s">
        <v>35</v>
      </c>
      <c r="C336" s="40">
        <v>902</v>
      </c>
      <c r="D336" s="41" t="s">
        <v>143</v>
      </c>
      <c r="E336" s="41" t="s">
        <v>48</v>
      </c>
      <c r="F336" s="42" t="s">
        <v>346</v>
      </c>
      <c r="G336" s="41" t="s">
        <v>36</v>
      </c>
      <c r="H336" s="43">
        <f>86.7+2.1</f>
        <v>88.8</v>
      </c>
    </row>
    <row r="337" spans="1:8" ht="36" customHeight="1" x14ac:dyDescent="0.25">
      <c r="A337" s="31"/>
      <c r="B337" s="44" t="s">
        <v>121</v>
      </c>
      <c r="C337" s="40">
        <v>902</v>
      </c>
      <c r="D337" s="41" t="s">
        <v>143</v>
      </c>
      <c r="E337" s="41" t="s">
        <v>48</v>
      </c>
      <c r="F337" s="42" t="s">
        <v>346</v>
      </c>
      <c r="G337" s="41" t="s">
        <v>122</v>
      </c>
      <c r="H337" s="43">
        <f>91818.9-2.1</f>
        <v>91816.799999999988</v>
      </c>
    </row>
    <row r="338" spans="1:8" ht="50.25" customHeight="1" x14ac:dyDescent="0.25">
      <c r="A338" s="31"/>
      <c r="B338" s="39" t="s">
        <v>345</v>
      </c>
      <c r="C338" s="40">
        <v>902</v>
      </c>
      <c r="D338" s="41" t="s">
        <v>143</v>
      </c>
      <c r="E338" s="41" t="s">
        <v>48</v>
      </c>
      <c r="F338" s="42" t="s">
        <v>347</v>
      </c>
      <c r="G338" s="41"/>
      <c r="H338" s="43">
        <f>H339</f>
        <v>0</v>
      </c>
    </row>
    <row r="339" spans="1:8" ht="36" customHeight="1" x14ac:dyDescent="0.25">
      <c r="A339" s="31"/>
      <c r="B339" s="44" t="s">
        <v>121</v>
      </c>
      <c r="C339" s="40">
        <v>902</v>
      </c>
      <c r="D339" s="41" t="s">
        <v>143</v>
      </c>
      <c r="E339" s="41" t="s">
        <v>48</v>
      </c>
      <c r="F339" s="42" t="s">
        <v>347</v>
      </c>
      <c r="G339" s="41" t="s">
        <v>122</v>
      </c>
      <c r="H339" s="43">
        <f>91384.1+434.8-91818.9</f>
        <v>0</v>
      </c>
    </row>
    <row r="340" spans="1:8" ht="34.5" customHeight="1" x14ac:dyDescent="0.25">
      <c r="A340" s="31"/>
      <c r="B340" s="44" t="s">
        <v>348</v>
      </c>
      <c r="C340" s="40">
        <v>902</v>
      </c>
      <c r="D340" s="41" t="s">
        <v>143</v>
      </c>
      <c r="E340" s="41" t="s">
        <v>48</v>
      </c>
      <c r="F340" s="42" t="s">
        <v>349</v>
      </c>
      <c r="G340" s="41"/>
      <c r="H340" s="43">
        <f>H341</f>
        <v>27318.7</v>
      </c>
    </row>
    <row r="341" spans="1:8" ht="20.25" customHeight="1" x14ac:dyDescent="0.25">
      <c r="A341" s="31"/>
      <c r="B341" s="39" t="s">
        <v>350</v>
      </c>
      <c r="C341" s="40">
        <v>902</v>
      </c>
      <c r="D341" s="41" t="s">
        <v>143</v>
      </c>
      <c r="E341" s="41" t="s">
        <v>48</v>
      </c>
      <c r="F341" s="42" t="s">
        <v>351</v>
      </c>
      <c r="G341" s="41"/>
      <c r="H341" s="43">
        <f>H342</f>
        <v>27318.7</v>
      </c>
    </row>
    <row r="342" spans="1:8" ht="28.9" customHeight="1" x14ac:dyDescent="0.25">
      <c r="A342" s="31"/>
      <c r="B342" s="57" t="s">
        <v>352</v>
      </c>
      <c r="C342" s="40">
        <v>902</v>
      </c>
      <c r="D342" s="41" t="s">
        <v>143</v>
      </c>
      <c r="E342" s="41" t="s">
        <v>48</v>
      </c>
      <c r="F342" s="42" t="s">
        <v>353</v>
      </c>
      <c r="G342" s="41"/>
      <c r="H342" s="43">
        <f>H343</f>
        <v>27318.7</v>
      </c>
    </row>
    <row r="343" spans="1:8" ht="18" customHeight="1" x14ac:dyDescent="0.25">
      <c r="A343" s="31"/>
      <c r="B343" s="39" t="s">
        <v>30</v>
      </c>
      <c r="C343" s="40">
        <v>902</v>
      </c>
      <c r="D343" s="41" t="s">
        <v>143</v>
      </c>
      <c r="E343" s="41" t="s">
        <v>48</v>
      </c>
      <c r="F343" s="42" t="s">
        <v>353</v>
      </c>
      <c r="G343" s="41" t="s">
        <v>31</v>
      </c>
      <c r="H343" s="43">
        <f>15210.2+10140.2+1181+787.3</f>
        <v>27318.7</v>
      </c>
    </row>
    <row r="344" spans="1:8" ht="20.25" customHeight="1" x14ac:dyDescent="0.25">
      <c r="A344" s="31"/>
      <c r="B344" s="39" t="s">
        <v>354</v>
      </c>
      <c r="C344" s="40">
        <v>902</v>
      </c>
      <c r="D344" s="41" t="s">
        <v>143</v>
      </c>
      <c r="E344" s="41" t="s">
        <v>287</v>
      </c>
      <c r="F344" s="42"/>
      <c r="G344" s="41"/>
      <c r="H344" s="43">
        <f>H345</f>
        <v>160</v>
      </c>
    </row>
    <row r="345" spans="1:8" ht="21" customHeight="1" x14ac:dyDescent="0.25">
      <c r="A345" s="31"/>
      <c r="B345" s="44" t="s">
        <v>297</v>
      </c>
      <c r="C345" s="40">
        <v>902</v>
      </c>
      <c r="D345" s="41" t="s">
        <v>143</v>
      </c>
      <c r="E345" s="41" t="s">
        <v>287</v>
      </c>
      <c r="F345" s="42" t="s">
        <v>298</v>
      </c>
      <c r="G345" s="41"/>
      <c r="H345" s="43">
        <f>H346</f>
        <v>160</v>
      </c>
    </row>
    <row r="346" spans="1:8" ht="33" customHeight="1" x14ac:dyDescent="0.25">
      <c r="A346" s="31"/>
      <c r="B346" s="39" t="s">
        <v>355</v>
      </c>
      <c r="C346" s="40">
        <v>902</v>
      </c>
      <c r="D346" s="41" t="s">
        <v>143</v>
      </c>
      <c r="E346" s="41" t="s">
        <v>287</v>
      </c>
      <c r="F346" s="42" t="s">
        <v>300</v>
      </c>
      <c r="G346" s="41"/>
      <c r="H346" s="43">
        <f>H347</f>
        <v>160</v>
      </c>
    </row>
    <row r="347" spans="1:8" ht="18.75" customHeight="1" x14ac:dyDescent="0.25">
      <c r="A347" s="31"/>
      <c r="B347" s="39" t="s">
        <v>356</v>
      </c>
      <c r="C347" s="40">
        <v>902</v>
      </c>
      <c r="D347" s="41" t="s">
        <v>143</v>
      </c>
      <c r="E347" s="41" t="s">
        <v>287</v>
      </c>
      <c r="F347" s="42" t="s">
        <v>344</v>
      </c>
      <c r="G347" s="41"/>
      <c r="H347" s="43">
        <f>H348</f>
        <v>160</v>
      </c>
    </row>
    <row r="348" spans="1:8" ht="49.15" customHeight="1" x14ac:dyDescent="0.25">
      <c r="A348" s="31"/>
      <c r="B348" s="39" t="s">
        <v>357</v>
      </c>
      <c r="C348" s="40">
        <v>902</v>
      </c>
      <c r="D348" s="41" t="s">
        <v>143</v>
      </c>
      <c r="E348" s="41" t="s">
        <v>287</v>
      </c>
      <c r="F348" s="42" t="s">
        <v>358</v>
      </c>
      <c r="G348" s="41"/>
      <c r="H348" s="43">
        <f>H349</f>
        <v>160</v>
      </c>
    </row>
    <row r="349" spans="1:8" ht="33.75" customHeight="1" x14ac:dyDescent="0.25">
      <c r="A349" s="31"/>
      <c r="B349" s="39" t="s">
        <v>35</v>
      </c>
      <c r="C349" s="40">
        <v>902</v>
      </c>
      <c r="D349" s="41" t="s">
        <v>143</v>
      </c>
      <c r="E349" s="41" t="s">
        <v>287</v>
      </c>
      <c r="F349" s="42" t="s">
        <v>358</v>
      </c>
      <c r="G349" s="41" t="s">
        <v>36</v>
      </c>
      <c r="H349" s="43">
        <v>160</v>
      </c>
    </row>
    <row r="350" spans="1:8" ht="20.25" customHeight="1" x14ac:dyDescent="0.25">
      <c r="A350" s="31"/>
      <c r="B350" s="39" t="s">
        <v>359</v>
      </c>
      <c r="C350" s="40">
        <v>902</v>
      </c>
      <c r="D350" s="41" t="s">
        <v>360</v>
      </c>
      <c r="E350" s="41" t="s">
        <v>19</v>
      </c>
      <c r="F350" s="42"/>
      <c r="G350" s="41"/>
      <c r="H350" s="43">
        <f>H351</f>
        <v>0</v>
      </c>
    </row>
    <row r="351" spans="1:8" ht="19.5" customHeight="1" x14ac:dyDescent="0.25">
      <c r="A351" s="31"/>
      <c r="B351" s="39" t="s">
        <v>361</v>
      </c>
      <c r="C351" s="40">
        <v>902</v>
      </c>
      <c r="D351" s="41" t="s">
        <v>360</v>
      </c>
      <c r="E351" s="41" t="s">
        <v>18</v>
      </c>
      <c r="F351" s="42"/>
      <c r="G351" s="41"/>
      <c r="H351" s="43">
        <f>H352</f>
        <v>0</v>
      </c>
    </row>
    <row r="352" spans="1:8" ht="33.75" customHeight="1" x14ac:dyDescent="0.25">
      <c r="A352" s="31"/>
      <c r="B352" s="39" t="s">
        <v>262</v>
      </c>
      <c r="C352" s="40">
        <v>902</v>
      </c>
      <c r="D352" s="41" t="s">
        <v>360</v>
      </c>
      <c r="E352" s="41" t="s">
        <v>18</v>
      </c>
      <c r="F352" s="42" t="s">
        <v>215</v>
      </c>
      <c r="G352" s="41"/>
      <c r="H352" s="43">
        <f>H353</f>
        <v>0</v>
      </c>
    </row>
    <row r="353" spans="1:8" ht="15.75" customHeight="1" x14ac:dyDescent="0.25">
      <c r="A353" s="31"/>
      <c r="B353" s="39" t="s">
        <v>263</v>
      </c>
      <c r="C353" s="40">
        <v>902</v>
      </c>
      <c r="D353" s="41" t="s">
        <v>360</v>
      </c>
      <c r="E353" s="41" t="s">
        <v>18</v>
      </c>
      <c r="F353" s="42" t="s">
        <v>264</v>
      </c>
      <c r="G353" s="41"/>
      <c r="H353" s="43">
        <f>H354+H356</f>
        <v>0</v>
      </c>
    </row>
    <row r="354" spans="1:8" ht="18" customHeight="1" x14ac:dyDescent="0.25">
      <c r="A354" s="31"/>
      <c r="B354" s="39" t="s">
        <v>362</v>
      </c>
      <c r="C354" s="40">
        <v>902</v>
      </c>
      <c r="D354" s="41" t="s">
        <v>360</v>
      </c>
      <c r="E354" s="41" t="s">
        <v>18</v>
      </c>
      <c r="F354" s="42" t="s">
        <v>363</v>
      </c>
      <c r="G354" s="41"/>
      <c r="H354" s="43">
        <f>H355</f>
        <v>0</v>
      </c>
    </row>
    <row r="355" spans="1:8" ht="33.75" customHeight="1" x14ac:dyDescent="0.25">
      <c r="A355" s="31"/>
      <c r="B355" s="44" t="s">
        <v>121</v>
      </c>
      <c r="C355" s="40">
        <v>902</v>
      </c>
      <c r="D355" s="41" t="s">
        <v>360</v>
      </c>
      <c r="E355" s="41" t="s">
        <v>18</v>
      </c>
      <c r="F355" s="42" t="s">
        <v>363</v>
      </c>
      <c r="G355" s="41" t="s">
        <v>122</v>
      </c>
      <c r="H355" s="43"/>
    </row>
    <row r="356" spans="1:8" ht="28.9" customHeight="1" x14ac:dyDescent="0.25">
      <c r="A356" s="31"/>
      <c r="B356" s="44" t="s">
        <v>123</v>
      </c>
      <c r="C356" s="40">
        <v>902</v>
      </c>
      <c r="D356" s="41" t="s">
        <v>360</v>
      </c>
      <c r="E356" s="41" t="s">
        <v>18</v>
      </c>
      <c r="F356" s="42" t="s">
        <v>265</v>
      </c>
      <c r="G356" s="41"/>
      <c r="H356" s="43">
        <f>H357</f>
        <v>0</v>
      </c>
    </row>
    <row r="357" spans="1:8" ht="33.75" customHeight="1" x14ac:dyDescent="0.25">
      <c r="A357" s="31"/>
      <c r="B357" s="39" t="s">
        <v>35</v>
      </c>
      <c r="C357" s="40">
        <v>902</v>
      </c>
      <c r="D357" s="41" t="s">
        <v>360</v>
      </c>
      <c r="E357" s="41" t="s">
        <v>18</v>
      </c>
      <c r="F357" s="42" t="s">
        <v>265</v>
      </c>
      <c r="G357" s="41" t="s">
        <v>36</v>
      </c>
      <c r="H357" s="43"/>
    </row>
    <row r="358" spans="1:8" ht="21.75" customHeight="1" x14ac:dyDescent="0.25">
      <c r="A358" s="31"/>
      <c r="B358" s="39" t="s">
        <v>364</v>
      </c>
      <c r="C358" s="40">
        <v>902</v>
      </c>
      <c r="D358" s="41" t="s">
        <v>88</v>
      </c>
      <c r="E358" s="41" t="s">
        <v>19</v>
      </c>
      <c r="F358" s="42"/>
      <c r="G358" s="41"/>
      <c r="H358" s="43">
        <f>H359</f>
        <v>500</v>
      </c>
    </row>
    <row r="359" spans="1:8" ht="21" customHeight="1" x14ac:dyDescent="0.25">
      <c r="A359" s="31"/>
      <c r="B359" s="39" t="s">
        <v>365</v>
      </c>
      <c r="C359" s="40">
        <v>902</v>
      </c>
      <c r="D359" s="41" t="s">
        <v>88</v>
      </c>
      <c r="E359" s="41" t="s">
        <v>18</v>
      </c>
      <c r="F359" s="42"/>
      <c r="G359" s="41"/>
      <c r="H359" s="43">
        <f>H360</f>
        <v>500</v>
      </c>
    </row>
    <row r="360" spans="1:8" ht="18" customHeight="1" x14ac:dyDescent="0.25">
      <c r="A360" s="31"/>
      <c r="B360" s="39" t="s">
        <v>330</v>
      </c>
      <c r="C360" s="40">
        <v>902</v>
      </c>
      <c r="D360" s="41" t="s">
        <v>88</v>
      </c>
      <c r="E360" s="41" t="s">
        <v>18</v>
      </c>
      <c r="F360" s="42" t="s">
        <v>331</v>
      </c>
      <c r="G360" s="41"/>
      <c r="H360" s="43">
        <f>H361</f>
        <v>500</v>
      </c>
    </row>
    <row r="361" spans="1:8" ht="18.75" customHeight="1" x14ac:dyDescent="0.25">
      <c r="A361" s="31"/>
      <c r="B361" s="39" t="s">
        <v>366</v>
      </c>
      <c r="C361" s="40">
        <v>902</v>
      </c>
      <c r="D361" s="41" t="s">
        <v>88</v>
      </c>
      <c r="E361" s="41" t="s">
        <v>18</v>
      </c>
      <c r="F361" s="42" t="s">
        <v>367</v>
      </c>
      <c r="G361" s="41"/>
      <c r="H361" s="43">
        <f>H362</f>
        <v>500</v>
      </c>
    </row>
    <row r="362" spans="1:8" ht="18" customHeight="1" x14ac:dyDescent="0.25">
      <c r="A362" s="31"/>
      <c r="B362" s="39" t="s">
        <v>368</v>
      </c>
      <c r="C362" s="40">
        <v>902</v>
      </c>
      <c r="D362" s="41" t="s">
        <v>88</v>
      </c>
      <c r="E362" s="41" t="s">
        <v>18</v>
      </c>
      <c r="F362" s="42" t="s">
        <v>369</v>
      </c>
      <c r="G362" s="41"/>
      <c r="H362" s="43">
        <f>H363</f>
        <v>500</v>
      </c>
    </row>
    <row r="363" spans="1:8" ht="18.75" customHeight="1" x14ac:dyDescent="0.25">
      <c r="A363" s="31"/>
      <c r="B363" s="39" t="s">
        <v>370</v>
      </c>
      <c r="C363" s="40">
        <v>902</v>
      </c>
      <c r="D363" s="41" t="s">
        <v>88</v>
      </c>
      <c r="E363" s="41" t="s">
        <v>18</v>
      </c>
      <c r="F363" s="42" t="s">
        <v>369</v>
      </c>
      <c r="G363" s="41" t="s">
        <v>371</v>
      </c>
      <c r="H363" s="43">
        <v>500</v>
      </c>
    </row>
    <row r="364" spans="1:8" ht="33.75" customHeight="1" x14ac:dyDescent="0.25">
      <c r="A364" s="31">
        <v>3</v>
      </c>
      <c r="B364" s="32" t="s">
        <v>372</v>
      </c>
      <c r="C364" s="33">
        <v>905</v>
      </c>
      <c r="D364" s="34"/>
      <c r="E364" s="34"/>
      <c r="F364" s="42"/>
      <c r="G364" s="34"/>
      <c r="H364" s="36">
        <f>H365+H385+H391</f>
        <v>114245.30000000002</v>
      </c>
    </row>
    <row r="365" spans="1:8" ht="22.5" customHeight="1" x14ac:dyDescent="0.25">
      <c r="A365" s="31"/>
      <c r="B365" s="39" t="s">
        <v>17</v>
      </c>
      <c r="C365" s="40">
        <v>905</v>
      </c>
      <c r="D365" s="41" t="s">
        <v>18</v>
      </c>
      <c r="E365" s="41" t="s">
        <v>19</v>
      </c>
      <c r="F365" s="35"/>
      <c r="G365" s="41"/>
      <c r="H365" s="43">
        <f>H366+H380</f>
        <v>36549.700000000004</v>
      </c>
    </row>
    <row r="366" spans="1:8" ht="36" customHeight="1" x14ac:dyDescent="0.25">
      <c r="A366" s="31"/>
      <c r="B366" s="39" t="s">
        <v>373</v>
      </c>
      <c r="C366" s="40">
        <v>905</v>
      </c>
      <c r="D366" s="41" t="s">
        <v>18</v>
      </c>
      <c r="E366" s="41" t="s">
        <v>287</v>
      </c>
      <c r="F366" s="42"/>
      <c r="G366" s="41"/>
      <c r="H366" s="43">
        <f>H367</f>
        <v>35817.700000000004</v>
      </c>
    </row>
    <row r="367" spans="1:8" ht="28.9" customHeight="1" x14ac:dyDescent="0.25">
      <c r="A367" s="31"/>
      <c r="B367" s="39" t="s">
        <v>330</v>
      </c>
      <c r="C367" s="40">
        <v>905</v>
      </c>
      <c r="D367" s="41" t="s">
        <v>18</v>
      </c>
      <c r="E367" s="41" t="s">
        <v>287</v>
      </c>
      <c r="F367" s="42" t="s">
        <v>331</v>
      </c>
      <c r="G367" s="41"/>
      <c r="H367" s="43">
        <f>H368+H378</f>
        <v>35817.700000000004</v>
      </c>
    </row>
    <row r="368" spans="1:8" ht="28.9" customHeight="1" x14ac:dyDescent="0.25">
      <c r="A368" s="31"/>
      <c r="B368" s="39" t="s">
        <v>374</v>
      </c>
      <c r="C368" s="40">
        <v>905</v>
      </c>
      <c r="D368" s="41" t="s">
        <v>18</v>
      </c>
      <c r="E368" s="41" t="s">
        <v>287</v>
      </c>
      <c r="F368" s="42" t="s">
        <v>375</v>
      </c>
      <c r="G368" s="41"/>
      <c r="H368" s="43">
        <f>H369+H373</f>
        <v>33209.4</v>
      </c>
    </row>
    <row r="369" spans="1:8" ht="28.9" customHeight="1" x14ac:dyDescent="0.25">
      <c r="A369" s="31"/>
      <c r="B369" s="39" t="s">
        <v>26</v>
      </c>
      <c r="C369" s="40">
        <v>905</v>
      </c>
      <c r="D369" s="41" t="s">
        <v>18</v>
      </c>
      <c r="E369" s="41" t="s">
        <v>287</v>
      </c>
      <c r="F369" s="42" t="s">
        <v>376</v>
      </c>
      <c r="G369" s="41"/>
      <c r="H369" s="43">
        <f>H370+H371+H372</f>
        <v>31949.1</v>
      </c>
    </row>
    <row r="370" spans="1:8" ht="50.1" customHeight="1" x14ac:dyDescent="0.25">
      <c r="A370" s="31"/>
      <c r="B370" s="39" t="s">
        <v>28</v>
      </c>
      <c r="C370" s="40">
        <v>905</v>
      </c>
      <c r="D370" s="41" t="s">
        <v>18</v>
      </c>
      <c r="E370" s="41" t="s">
        <v>287</v>
      </c>
      <c r="F370" s="42" t="s">
        <v>376</v>
      </c>
      <c r="G370" s="41" t="s">
        <v>29</v>
      </c>
      <c r="H370" s="43">
        <f>30451.1+353+191.5+100</f>
        <v>31095.599999999999</v>
      </c>
    </row>
    <row r="371" spans="1:8" ht="33.75" customHeight="1" x14ac:dyDescent="0.25">
      <c r="A371" s="31"/>
      <c r="B371" s="39" t="s">
        <v>35</v>
      </c>
      <c r="C371" s="40">
        <v>905</v>
      </c>
      <c r="D371" s="41" t="s">
        <v>18</v>
      </c>
      <c r="E371" s="41" t="s">
        <v>287</v>
      </c>
      <c r="F371" s="42" t="s">
        <v>376</v>
      </c>
      <c r="G371" s="41" t="s">
        <v>36</v>
      </c>
      <c r="H371" s="43">
        <f>745-100</f>
        <v>645</v>
      </c>
    </row>
    <row r="372" spans="1:8" ht="28.9" customHeight="1" x14ac:dyDescent="0.25">
      <c r="A372" s="31"/>
      <c r="B372" s="39" t="s">
        <v>30</v>
      </c>
      <c r="C372" s="40">
        <v>905</v>
      </c>
      <c r="D372" s="41" t="s">
        <v>18</v>
      </c>
      <c r="E372" s="41" t="s">
        <v>287</v>
      </c>
      <c r="F372" s="42" t="s">
        <v>376</v>
      </c>
      <c r="G372" s="41" t="s">
        <v>31</v>
      </c>
      <c r="H372" s="43">
        <f>400-191.5</f>
        <v>208.5</v>
      </c>
    </row>
    <row r="373" spans="1:8" ht="28.9" customHeight="1" x14ac:dyDescent="0.25">
      <c r="A373" s="31"/>
      <c r="B373" s="39" t="s">
        <v>60</v>
      </c>
      <c r="C373" s="40">
        <v>905</v>
      </c>
      <c r="D373" s="41" t="s">
        <v>18</v>
      </c>
      <c r="E373" s="41" t="s">
        <v>287</v>
      </c>
      <c r="F373" s="42" t="s">
        <v>377</v>
      </c>
      <c r="G373" s="41"/>
      <c r="H373" s="43">
        <f>H374</f>
        <v>1260.3000000000002</v>
      </c>
    </row>
    <row r="374" spans="1:8" ht="28.9" customHeight="1" x14ac:dyDescent="0.25">
      <c r="A374" s="31"/>
      <c r="B374" s="39" t="s">
        <v>26</v>
      </c>
      <c r="C374" s="40">
        <v>905</v>
      </c>
      <c r="D374" s="41" t="s">
        <v>18</v>
      </c>
      <c r="E374" s="41" t="s">
        <v>287</v>
      </c>
      <c r="F374" s="42" t="s">
        <v>378</v>
      </c>
      <c r="G374" s="41"/>
      <c r="H374" s="43">
        <f>H375+H376</f>
        <v>1260.3000000000002</v>
      </c>
    </row>
    <row r="375" spans="1:8" ht="53.65" customHeight="1" x14ac:dyDescent="0.25">
      <c r="A375" s="31"/>
      <c r="B375" s="39" t="s">
        <v>28</v>
      </c>
      <c r="C375" s="40">
        <v>905</v>
      </c>
      <c r="D375" s="41" t="s">
        <v>18</v>
      </c>
      <c r="E375" s="41" t="s">
        <v>287</v>
      </c>
      <c r="F375" s="42" t="s">
        <v>378</v>
      </c>
      <c r="G375" s="41" t="s">
        <v>29</v>
      </c>
      <c r="H375" s="43">
        <f>1214.4+191.5-191.5</f>
        <v>1214.4000000000001</v>
      </c>
    </row>
    <row r="376" spans="1:8" ht="31.5" customHeight="1" x14ac:dyDescent="0.25">
      <c r="A376" s="31"/>
      <c r="B376" s="39" t="s">
        <v>35</v>
      </c>
      <c r="C376" s="40">
        <v>905</v>
      </c>
      <c r="D376" s="41" t="s">
        <v>18</v>
      </c>
      <c r="E376" s="41" t="s">
        <v>287</v>
      </c>
      <c r="F376" s="42" t="s">
        <v>378</v>
      </c>
      <c r="G376" s="41" t="s">
        <v>36</v>
      </c>
      <c r="H376" s="43">
        <f>45.9</f>
        <v>45.9</v>
      </c>
    </row>
    <row r="377" spans="1:8" ht="25.5" customHeight="1" x14ac:dyDescent="0.25">
      <c r="A377" s="31"/>
      <c r="B377" s="39" t="s">
        <v>379</v>
      </c>
      <c r="C377" s="40">
        <v>905</v>
      </c>
      <c r="D377" s="41" t="s">
        <v>18</v>
      </c>
      <c r="E377" s="41" t="s">
        <v>287</v>
      </c>
      <c r="F377" s="42" t="s">
        <v>380</v>
      </c>
      <c r="G377" s="41"/>
      <c r="H377" s="43">
        <f>H378</f>
        <v>2608.3000000000002</v>
      </c>
    </row>
    <row r="378" spans="1:8" ht="28.9" customHeight="1" x14ac:dyDescent="0.25">
      <c r="A378" s="31"/>
      <c r="B378" s="39" t="s">
        <v>26</v>
      </c>
      <c r="C378" s="40">
        <v>905</v>
      </c>
      <c r="D378" s="41" t="s">
        <v>18</v>
      </c>
      <c r="E378" s="41" t="s">
        <v>287</v>
      </c>
      <c r="F378" s="42" t="s">
        <v>381</v>
      </c>
      <c r="G378" s="41"/>
      <c r="H378" s="43">
        <f>H379</f>
        <v>2608.3000000000002</v>
      </c>
    </row>
    <row r="379" spans="1:8" ht="35.25" customHeight="1" x14ac:dyDescent="0.25">
      <c r="A379" s="31"/>
      <c r="B379" s="39" t="s">
        <v>35</v>
      </c>
      <c r="C379" s="40">
        <v>905</v>
      </c>
      <c r="D379" s="41" t="s">
        <v>18</v>
      </c>
      <c r="E379" s="41" t="s">
        <v>287</v>
      </c>
      <c r="F379" s="42" t="s">
        <v>381</v>
      </c>
      <c r="G379" s="41" t="s">
        <v>36</v>
      </c>
      <c r="H379" s="43">
        <f>2608.3</f>
        <v>2608.3000000000002</v>
      </c>
    </row>
    <row r="380" spans="1:8" ht="22.5" customHeight="1" x14ac:dyDescent="0.25">
      <c r="A380" s="31"/>
      <c r="B380" s="39" t="s">
        <v>382</v>
      </c>
      <c r="C380" s="40">
        <v>905</v>
      </c>
      <c r="D380" s="41" t="s">
        <v>18</v>
      </c>
      <c r="E380" s="41" t="s">
        <v>360</v>
      </c>
      <c r="F380" s="42"/>
      <c r="G380" s="41"/>
      <c r="H380" s="43">
        <f>H381</f>
        <v>732.00000000000045</v>
      </c>
    </row>
    <row r="381" spans="1:8" ht="24" customHeight="1" x14ac:dyDescent="0.25">
      <c r="A381" s="31"/>
      <c r="B381" s="39" t="s">
        <v>330</v>
      </c>
      <c r="C381" s="40">
        <v>905</v>
      </c>
      <c r="D381" s="41" t="s">
        <v>18</v>
      </c>
      <c r="E381" s="41" t="s">
        <v>360</v>
      </c>
      <c r="F381" s="42" t="s">
        <v>331</v>
      </c>
      <c r="G381" s="41"/>
      <c r="H381" s="43">
        <f>H382</f>
        <v>732.00000000000045</v>
      </c>
    </row>
    <row r="382" spans="1:8" ht="31.5" customHeight="1" x14ac:dyDescent="0.25">
      <c r="A382" s="31"/>
      <c r="B382" s="39" t="s">
        <v>332</v>
      </c>
      <c r="C382" s="40">
        <v>905</v>
      </c>
      <c r="D382" s="41" t="s">
        <v>18</v>
      </c>
      <c r="E382" s="41" t="s">
        <v>360</v>
      </c>
      <c r="F382" s="42" t="s">
        <v>333</v>
      </c>
      <c r="G382" s="41"/>
      <c r="H382" s="43">
        <f>H383</f>
        <v>732.00000000000045</v>
      </c>
    </row>
    <row r="383" spans="1:8" ht="28.9" customHeight="1" x14ac:dyDescent="0.25">
      <c r="A383" s="31"/>
      <c r="B383" s="39" t="s">
        <v>383</v>
      </c>
      <c r="C383" s="40">
        <v>905</v>
      </c>
      <c r="D383" s="41" t="s">
        <v>18</v>
      </c>
      <c r="E383" s="41" t="s">
        <v>360</v>
      </c>
      <c r="F383" s="42" t="s">
        <v>384</v>
      </c>
      <c r="G383" s="41"/>
      <c r="H383" s="43">
        <f>H384</f>
        <v>732.00000000000045</v>
      </c>
    </row>
    <row r="384" spans="1:8" ht="28.9" customHeight="1" x14ac:dyDescent="0.25">
      <c r="A384" s="31"/>
      <c r="B384" s="39" t="s">
        <v>37</v>
      </c>
      <c r="C384" s="40">
        <v>905</v>
      </c>
      <c r="D384" s="41" t="s">
        <v>18</v>
      </c>
      <c r="E384" s="41" t="s">
        <v>360</v>
      </c>
      <c r="F384" s="42" t="s">
        <v>384</v>
      </c>
      <c r="G384" s="41" t="s">
        <v>38</v>
      </c>
      <c r="H384" s="43">
        <f>10000-235.2-5737.5-1519.3+11000-10816.9+5000-2000-1000-3959.1</f>
        <v>732.00000000000045</v>
      </c>
    </row>
    <row r="385" spans="1:8" ht="28.9" customHeight="1" x14ac:dyDescent="0.25">
      <c r="A385" s="31"/>
      <c r="B385" s="39" t="s">
        <v>364</v>
      </c>
      <c r="C385" s="40">
        <v>905</v>
      </c>
      <c r="D385" s="41" t="s">
        <v>88</v>
      </c>
      <c r="E385" s="41" t="s">
        <v>19</v>
      </c>
      <c r="F385" s="42"/>
      <c r="G385" s="41"/>
      <c r="H385" s="43">
        <f>H386</f>
        <v>0</v>
      </c>
    </row>
    <row r="386" spans="1:8" ht="28.9" customHeight="1" x14ac:dyDescent="0.25">
      <c r="A386" s="31"/>
      <c r="B386" s="39" t="s">
        <v>365</v>
      </c>
      <c r="C386" s="40">
        <v>905</v>
      </c>
      <c r="D386" s="41" t="s">
        <v>88</v>
      </c>
      <c r="E386" s="41" t="s">
        <v>18</v>
      </c>
      <c r="F386" s="42"/>
      <c r="G386" s="41"/>
      <c r="H386" s="43">
        <f>H387</f>
        <v>0</v>
      </c>
    </row>
    <row r="387" spans="1:8" ht="28.9" customHeight="1" x14ac:dyDescent="0.25">
      <c r="A387" s="31"/>
      <c r="B387" s="39" t="s">
        <v>330</v>
      </c>
      <c r="C387" s="40">
        <v>905</v>
      </c>
      <c r="D387" s="41" t="s">
        <v>88</v>
      </c>
      <c r="E387" s="41" t="s">
        <v>18</v>
      </c>
      <c r="F387" s="42" t="s">
        <v>331</v>
      </c>
      <c r="G387" s="41"/>
      <c r="H387" s="43">
        <f>H388</f>
        <v>0</v>
      </c>
    </row>
    <row r="388" spans="1:8" ht="28.9" customHeight="1" x14ac:dyDescent="0.25">
      <c r="A388" s="31"/>
      <c r="B388" s="39" t="s">
        <v>366</v>
      </c>
      <c r="C388" s="40">
        <v>905</v>
      </c>
      <c r="D388" s="41" t="s">
        <v>88</v>
      </c>
      <c r="E388" s="41" t="s">
        <v>18</v>
      </c>
      <c r="F388" s="42" t="s">
        <v>367</v>
      </c>
      <c r="G388" s="41"/>
      <c r="H388" s="43">
        <f>H389</f>
        <v>0</v>
      </c>
    </row>
    <row r="389" spans="1:8" ht="28.9" customHeight="1" x14ac:dyDescent="0.25">
      <c r="A389" s="31"/>
      <c r="B389" s="39" t="s">
        <v>368</v>
      </c>
      <c r="C389" s="40">
        <v>905</v>
      </c>
      <c r="D389" s="41" t="s">
        <v>88</v>
      </c>
      <c r="E389" s="41" t="s">
        <v>18</v>
      </c>
      <c r="F389" s="42" t="s">
        <v>369</v>
      </c>
      <c r="G389" s="41"/>
      <c r="H389" s="43">
        <f>H390</f>
        <v>0</v>
      </c>
    </row>
    <row r="390" spans="1:8" ht="28.9" customHeight="1" x14ac:dyDescent="0.25">
      <c r="A390" s="31"/>
      <c r="B390" s="39" t="s">
        <v>370</v>
      </c>
      <c r="C390" s="40">
        <v>905</v>
      </c>
      <c r="D390" s="41" t="s">
        <v>88</v>
      </c>
      <c r="E390" s="41" t="s">
        <v>18</v>
      </c>
      <c r="F390" s="42" t="s">
        <v>369</v>
      </c>
      <c r="G390" s="41" t="s">
        <v>371</v>
      </c>
      <c r="H390" s="43">
        <f>50-50</f>
        <v>0</v>
      </c>
    </row>
    <row r="391" spans="1:8" ht="33.75" customHeight="1" x14ac:dyDescent="0.25">
      <c r="A391" s="31"/>
      <c r="B391" s="39" t="s">
        <v>385</v>
      </c>
      <c r="C391" s="40">
        <v>905</v>
      </c>
      <c r="D391" s="41" t="s">
        <v>160</v>
      </c>
      <c r="E391" s="41" t="s">
        <v>19</v>
      </c>
      <c r="F391" s="42"/>
      <c r="G391" s="41"/>
      <c r="H391" s="43">
        <f>H392+H397</f>
        <v>77695.600000000006</v>
      </c>
    </row>
    <row r="392" spans="1:8" ht="36" customHeight="1" x14ac:dyDescent="0.25">
      <c r="A392" s="31"/>
      <c r="B392" s="39" t="s">
        <v>386</v>
      </c>
      <c r="C392" s="40">
        <v>905</v>
      </c>
      <c r="D392" s="41" t="s">
        <v>160</v>
      </c>
      <c r="E392" s="41" t="s">
        <v>18</v>
      </c>
      <c r="F392" s="42"/>
      <c r="G392" s="41"/>
      <c r="H392" s="43">
        <f>H393</f>
        <v>5000</v>
      </c>
    </row>
    <row r="393" spans="1:8" ht="28.9" customHeight="1" x14ac:dyDescent="0.25">
      <c r="A393" s="31"/>
      <c r="B393" s="39" t="s">
        <v>330</v>
      </c>
      <c r="C393" s="40">
        <v>905</v>
      </c>
      <c r="D393" s="41" t="s">
        <v>160</v>
      </c>
      <c r="E393" s="41" t="s">
        <v>18</v>
      </c>
      <c r="F393" s="42" t="s">
        <v>331</v>
      </c>
      <c r="G393" s="41"/>
      <c r="H393" s="43">
        <f>H394</f>
        <v>5000</v>
      </c>
    </row>
    <row r="394" spans="1:8" ht="28.9" customHeight="1" x14ac:dyDescent="0.25">
      <c r="A394" s="31"/>
      <c r="B394" s="39" t="s">
        <v>387</v>
      </c>
      <c r="C394" s="40">
        <v>905</v>
      </c>
      <c r="D394" s="41" t="s">
        <v>160</v>
      </c>
      <c r="E394" s="41" t="s">
        <v>18</v>
      </c>
      <c r="F394" s="42" t="s">
        <v>388</v>
      </c>
      <c r="G394" s="41"/>
      <c r="H394" s="43">
        <f>H395</f>
        <v>5000</v>
      </c>
    </row>
    <row r="395" spans="1:8" ht="28.9" customHeight="1" x14ac:dyDescent="0.25">
      <c r="A395" s="31"/>
      <c r="B395" s="39" t="s">
        <v>389</v>
      </c>
      <c r="C395" s="40">
        <v>905</v>
      </c>
      <c r="D395" s="41" t="s">
        <v>160</v>
      </c>
      <c r="E395" s="41" t="s">
        <v>18</v>
      </c>
      <c r="F395" s="42" t="s">
        <v>390</v>
      </c>
      <c r="G395" s="41"/>
      <c r="H395" s="43">
        <f>H396</f>
        <v>5000</v>
      </c>
    </row>
    <row r="396" spans="1:8" ht="28.9" customHeight="1" x14ac:dyDescent="0.25">
      <c r="A396" s="31"/>
      <c r="B396" s="39" t="s">
        <v>391</v>
      </c>
      <c r="C396" s="40">
        <v>905</v>
      </c>
      <c r="D396" s="41" t="s">
        <v>160</v>
      </c>
      <c r="E396" s="41" t="s">
        <v>18</v>
      </c>
      <c r="F396" s="42" t="s">
        <v>390</v>
      </c>
      <c r="G396" s="41" t="s">
        <v>392</v>
      </c>
      <c r="H396" s="43">
        <v>5000</v>
      </c>
    </row>
    <row r="397" spans="1:8" ht="28.9" customHeight="1" x14ac:dyDescent="0.25">
      <c r="A397" s="31"/>
      <c r="B397" s="39" t="s">
        <v>393</v>
      </c>
      <c r="C397" s="40">
        <v>905</v>
      </c>
      <c r="D397" s="41" t="s">
        <v>160</v>
      </c>
      <c r="E397" s="41" t="s">
        <v>21</v>
      </c>
      <c r="F397" s="42"/>
      <c r="G397" s="41"/>
      <c r="H397" s="43">
        <f>H398+H405</f>
        <v>72695.600000000006</v>
      </c>
    </row>
    <row r="398" spans="1:8" ht="28.9" customHeight="1" x14ac:dyDescent="0.25">
      <c r="A398" s="31"/>
      <c r="B398" s="39" t="s">
        <v>330</v>
      </c>
      <c r="C398" s="40">
        <v>905</v>
      </c>
      <c r="D398" s="41" t="s">
        <v>160</v>
      </c>
      <c r="E398" s="41" t="s">
        <v>21</v>
      </c>
      <c r="F398" s="42" t="s">
        <v>331</v>
      </c>
      <c r="G398" s="41"/>
      <c r="H398" s="43">
        <f>H399+H402</f>
        <v>60199</v>
      </c>
    </row>
    <row r="399" spans="1:8" ht="28.9" customHeight="1" x14ac:dyDescent="0.25">
      <c r="A399" s="31"/>
      <c r="B399" s="39" t="s">
        <v>387</v>
      </c>
      <c r="C399" s="40">
        <v>905</v>
      </c>
      <c r="D399" s="41" t="s">
        <v>160</v>
      </c>
      <c r="E399" s="41" t="s">
        <v>21</v>
      </c>
      <c r="F399" s="42" t="s">
        <v>388</v>
      </c>
      <c r="G399" s="41"/>
      <c r="H399" s="43">
        <f>H400</f>
        <v>43525.7</v>
      </c>
    </row>
    <row r="400" spans="1:8" ht="34.5" customHeight="1" x14ac:dyDescent="0.25">
      <c r="A400" s="31"/>
      <c r="B400" s="39" t="s">
        <v>394</v>
      </c>
      <c r="C400" s="40">
        <v>905</v>
      </c>
      <c r="D400" s="41" t="s">
        <v>160</v>
      </c>
      <c r="E400" s="41" t="s">
        <v>21</v>
      </c>
      <c r="F400" s="42" t="s">
        <v>395</v>
      </c>
      <c r="G400" s="41"/>
      <c r="H400" s="43">
        <f>H401</f>
        <v>43525.7</v>
      </c>
    </row>
    <row r="401" spans="1:8" ht="28.9" customHeight="1" x14ac:dyDescent="0.25">
      <c r="A401" s="31"/>
      <c r="B401" s="39" t="s">
        <v>391</v>
      </c>
      <c r="C401" s="40">
        <v>905</v>
      </c>
      <c r="D401" s="41" t="s">
        <v>160</v>
      </c>
      <c r="E401" s="41" t="s">
        <v>21</v>
      </c>
      <c r="F401" s="42" t="s">
        <v>395</v>
      </c>
      <c r="G401" s="41" t="s">
        <v>392</v>
      </c>
      <c r="H401" s="43">
        <f>10000+386+19614+15525.7-2000</f>
        <v>43525.7</v>
      </c>
    </row>
    <row r="402" spans="1:8" ht="31.5" customHeight="1" x14ac:dyDescent="0.25">
      <c r="A402" s="31"/>
      <c r="B402" s="39" t="s">
        <v>332</v>
      </c>
      <c r="C402" s="40">
        <v>905</v>
      </c>
      <c r="D402" s="41" t="s">
        <v>160</v>
      </c>
      <c r="E402" s="41" t="s">
        <v>21</v>
      </c>
      <c r="F402" s="42" t="s">
        <v>333</v>
      </c>
      <c r="G402" s="41"/>
      <c r="H402" s="43">
        <f>H403</f>
        <v>16673.3</v>
      </c>
    </row>
    <row r="403" spans="1:8" ht="28.9" customHeight="1" x14ac:dyDescent="0.25">
      <c r="A403" s="31"/>
      <c r="B403" s="39" t="s">
        <v>383</v>
      </c>
      <c r="C403" s="40">
        <v>905</v>
      </c>
      <c r="D403" s="41" t="s">
        <v>160</v>
      </c>
      <c r="E403" s="41" t="s">
        <v>21</v>
      </c>
      <c r="F403" s="42" t="s">
        <v>384</v>
      </c>
      <c r="G403" s="41"/>
      <c r="H403" s="43">
        <f>H404</f>
        <v>16673.3</v>
      </c>
    </row>
    <row r="404" spans="1:8" ht="28.9" customHeight="1" x14ac:dyDescent="0.25">
      <c r="A404" s="31"/>
      <c r="B404" s="39" t="s">
        <v>391</v>
      </c>
      <c r="C404" s="40">
        <v>905</v>
      </c>
      <c r="D404" s="41" t="s">
        <v>160</v>
      </c>
      <c r="E404" s="41" t="s">
        <v>21</v>
      </c>
      <c r="F404" s="42" t="s">
        <v>384</v>
      </c>
      <c r="G404" s="41" t="s">
        <v>392</v>
      </c>
      <c r="H404" s="43">
        <f>1519.3+9422.2+5731.8</f>
        <v>16673.3</v>
      </c>
    </row>
    <row r="405" spans="1:8" ht="28.9" customHeight="1" x14ac:dyDescent="0.25">
      <c r="A405" s="31"/>
      <c r="B405" s="39" t="s">
        <v>77</v>
      </c>
      <c r="C405" s="40">
        <v>905</v>
      </c>
      <c r="D405" s="41" t="s">
        <v>160</v>
      </c>
      <c r="E405" s="41" t="s">
        <v>21</v>
      </c>
      <c r="F405" s="42" t="s">
        <v>78</v>
      </c>
      <c r="G405" s="41"/>
      <c r="H405" s="43">
        <f>H406</f>
        <v>12496.6</v>
      </c>
    </row>
    <row r="406" spans="1:8" ht="28.9" customHeight="1" x14ac:dyDescent="0.25">
      <c r="A406" s="31"/>
      <c r="B406" s="39" t="s">
        <v>79</v>
      </c>
      <c r="C406" s="40">
        <v>905</v>
      </c>
      <c r="D406" s="41" t="s">
        <v>160</v>
      </c>
      <c r="E406" s="41" t="s">
        <v>21</v>
      </c>
      <c r="F406" s="42" t="s">
        <v>80</v>
      </c>
      <c r="G406" s="41"/>
      <c r="H406" s="43">
        <f>H407</f>
        <v>12496.6</v>
      </c>
    </row>
    <row r="407" spans="1:8" ht="28.9" customHeight="1" x14ac:dyDescent="0.25">
      <c r="A407" s="31"/>
      <c r="B407" s="39" t="s">
        <v>126</v>
      </c>
      <c r="C407" s="40">
        <v>905</v>
      </c>
      <c r="D407" s="41" t="s">
        <v>160</v>
      </c>
      <c r="E407" s="41" t="s">
        <v>21</v>
      </c>
      <c r="F407" s="42" t="s">
        <v>127</v>
      </c>
      <c r="G407" s="41"/>
      <c r="H407" s="43">
        <f>H408</f>
        <v>12496.6</v>
      </c>
    </row>
    <row r="408" spans="1:8" ht="28.9" customHeight="1" x14ac:dyDescent="0.25">
      <c r="A408" s="31"/>
      <c r="B408" s="39" t="s">
        <v>391</v>
      </c>
      <c r="C408" s="40">
        <v>905</v>
      </c>
      <c r="D408" s="41" t="s">
        <v>160</v>
      </c>
      <c r="E408" s="41" t="s">
        <v>21</v>
      </c>
      <c r="F408" s="42" t="s">
        <v>127</v>
      </c>
      <c r="G408" s="41" t="s">
        <v>392</v>
      </c>
      <c r="H408" s="43">
        <v>12496.6</v>
      </c>
    </row>
    <row r="409" spans="1:8" ht="38.25" customHeight="1" x14ac:dyDescent="0.25">
      <c r="A409" s="31">
        <v>4</v>
      </c>
      <c r="B409" s="58" t="s">
        <v>396</v>
      </c>
      <c r="C409" s="33">
        <v>910</v>
      </c>
      <c r="D409" s="34"/>
      <c r="E409" s="34"/>
      <c r="F409" s="42"/>
      <c r="G409" s="34"/>
      <c r="H409" s="36">
        <f>H410</f>
        <v>12771.7</v>
      </c>
    </row>
    <row r="410" spans="1:8" ht="28.9" customHeight="1" x14ac:dyDescent="0.25">
      <c r="A410" s="31"/>
      <c r="B410" s="44" t="s">
        <v>17</v>
      </c>
      <c r="C410" s="40">
        <v>910</v>
      </c>
      <c r="D410" s="41" t="s">
        <v>18</v>
      </c>
      <c r="E410" s="41" t="s">
        <v>19</v>
      </c>
      <c r="F410" s="35"/>
      <c r="G410" s="41"/>
      <c r="H410" s="43">
        <f>H411</f>
        <v>12771.7</v>
      </c>
    </row>
    <row r="411" spans="1:8" ht="35.25" customHeight="1" x14ac:dyDescent="0.25">
      <c r="A411" s="31"/>
      <c r="B411" s="44" t="s">
        <v>373</v>
      </c>
      <c r="C411" s="40">
        <v>910</v>
      </c>
      <c r="D411" s="41" t="s">
        <v>18</v>
      </c>
      <c r="E411" s="41" t="s">
        <v>287</v>
      </c>
      <c r="F411" s="42"/>
      <c r="G411" s="41"/>
      <c r="H411" s="43">
        <f>H412</f>
        <v>12771.7</v>
      </c>
    </row>
    <row r="412" spans="1:8" ht="36.75" customHeight="1" x14ac:dyDescent="0.25">
      <c r="A412" s="31"/>
      <c r="B412" s="44" t="s">
        <v>397</v>
      </c>
      <c r="C412" s="40">
        <v>910</v>
      </c>
      <c r="D412" s="41" t="s">
        <v>18</v>
      </c>
      <c r="E412" s="41" t="s">
        <v>287</v>
      </c>
      <c r="F412" s="42" t="s">
        <v>398</v>
      </c>
      <c r="G412" s="41"/>
      <c r="H412" s="43">
        <f>H413+H416</f>
        <v>12771.7</v>
      </c>
    </row>
    <row r="413" spans="1:8" ht="28.9" customHeight="1" x14ac:dyDescent="0.25">
      <c r="A413" s="31"/>
      <c r="B413" s="39" t="s">
        <v>399</v>
      </c>
      <c r="C413" s="40">
        <v>910</v>
      </c>
      <c r="D413" s="41" t="s">
        <v>18</v>
      </c>
      <c r="E413" s="41" t="s">
        <v>287</v>
      </c>
      <c r="F413" s="42" t="s">
        <v>400</v>
      </c>
      <c r="G413" s="41"/>
      <c r="H413" s="43">
        <f>H414</f>
        <v>5830.2000000000007</v>
      </c>
    </row>
    <row r="414" spans="1:8" ht="28.9" customHeight="1" x14ac:dyDescent="0.25">
      <c r="A414" s="31"/>
      <c r="B414" s="44" t="s">
        <v>26</v>
      </c>
      <c r="C414" s="40">
        <v>910</v>
      </c>
      <c r="D414" s="41" t="s">
        <v>18</v>
      </c>
      <c r="E414" s="41" t="s">
        <v>287</v>
      </c>
      <c r="F414" s="42" t="s">
        <v>401</v>
      </c>
      <c r="G414" s="41"/>
      <c r="H414" s="43">
        <f>H415</f>
        <v>5830.2000000000007</v>
      </c>
    </row>
    <row r="415" spans="1:8" ht="49.15" customHeight="1" x14ac:dyDescent="0.25">
      <c r="A415" s="31"/>
      <c r="B415" s="39" t="s">
        <v>28</v>
      </c>
      <c r="C415" s="40">
        <v>910</v>
      </c>
      <c r="D415" s="41" t="s">
        <v>18</v>
      </c>
      <c r="E415" s="41" t="s">
        <v>287</v>
      </c>
      <c r="F415" s="42" t="s">
        <v>401</v>
      </c>
      <c r="G415" s="41" t="s">
        <v>29</v>
      </c>
      <c r="H415" s="43">
        <f>6119.8-72.9-145.8-70.9</f>
        <v>5830.2000000000007</v>
      </c>
    </row>
    <row r="416" spans="1:8" ht="28.9" customHeight="1" x14ac:dyDescent="0.25">
      <c r="A416" s="31"/>
      <c r="B416" s="44" t="s">
        <v>402</v>
      </c>
      <c r="C416" s="40">
        <v>910</v>
      </c>
      <c r="D416" s="41" t="s">
        <v>18</v>
      </c>
      <c r="E416" s="41" t="s">
        <v>287</v>
      </c>
      <c r="F416" s="42" t="s">
        <v>403</v>
      </c>
      <c r="G416" s="41"/>
      <c r="H416" s="43">
        <f>H417+H421</f>
        <v>6941.5</v>
      </c>
    </row>
    <row r="417" spans="1:21" ht="28.9" customHeight="1" x14ac:dyDescent="0.25">
      <c r="A417" s="31"/>
      <c r="B417" s="44" t="s">
        <v>26</v>
      </c>
      <c r="C417" s="40">
        <v>910</v>
      </c>
      <c r="D417" s="41" t="s">
        <v>18</v>
      </c>
      <c r="E417" s="41" t="s">
        <v>287</v>
      </c>
      <c r="F417" s="42" t="s">
        <v>404</v>
      </c>
      <c r="G417" s="41"/>
      <c r="H417" s="43">
        <f t="shared" ref="H417:S417" si="2">H418+H419+H420</f>
        <v>4007.3</v>
      </c>
      <c r="I417" s="51">
        <f t="shared" si="2"/>
        <v>0</v>
      </c>
      <c r="J417" s="51">
        <f t="shared" si="2"/>
        <v>0</v>
      </c>
      <c r="K417" s="51">
        <f t="shared" si="2"/>
        <v>0</v>
      </c>
      <c r="L417" s="51">
        <f t="shared" si="2"/>
        <v>0</v>
      </c>
      <c r="M417" s="51">
        <f t="shared" si="2"/>
        <v>0</v>
      </c>
      <c r="N417" s="51">
        <f t="shared" si="2"/>
        <v>0</v>
      </c>
      <c r="O417" s="51">
        <f t="shared" si="2"/>
        <v>0</v>
      </c>
      <c r="P417" s="51">
        <f t="shared" si="2"/>
        <v>0</v>
      </c>
      <c r="Q417" s="51">
        <f t="shared" si="2"/>
        <v>0</v>
      </c>
      <c r="R417" s="51">
        <f t="shared" si="2"/>
        <v>0</v>
      </c>
      <c r="S417" s="51">
        <f t="shared" si="2"/>
        <v>0</v>
      </c>
      <c r="T417" s="51"/>
      <c r="U417" s="59"/>
    </row>
    <row r="418" spans="1:21" ht="48" customHeight="1" x14ac:dyDescent="0.25">
      <c r="A418" s="31"/>
      <c r="B418" s="39" t="s">
        <v>28</v>
      </c>
      <c r="C418" s="40">
        <v>910</v>
      </c>
      <c r="D418" s="41" t="s">
        <v>18</v>
      </c>
      <c r="E418" s="41" t="s">
        <v>287</v>
      </c>
      <c r="F418" s="42" t="s">
        <v>404</v>
      </c>
      <c r="G418" s="41" t="s">
        <v>29</v>
      </c>
      <c r="H418" s="43">
        <f>1396.5+79.8+72.9+145.8+940.2+70.9-60</f>
        <v>2646.1</v>
      </c>
    </row>
    <row r="419" spans="1:21" ht="34.5" customHeight="1" x14ac:dyDescent="0.25">
      <c r="A419" s="31"/>
      <c r="B419" s="39" t="s">
        <v>35</v>
      </c>
      <c r="C419" s="40">
        <v>910</v>
      </c>
      <c r="D419" s="41" t="s">
        <v>18</v>
      </c>
      <c r="E419" s="41" t="s">
        <v>287</v>
      </c>
      <c r="F419" s="42" t="s">
        <v>404</v>
      </c>
      <c r="G419" s="41" t="s">
        <v>36</v>
      </c>
      <c r="H419" s="43">
        <f>1159.2+140+60</f>
        <v>1359.2</v>
      </c>
    </row>
    <row r="420" spans="1:21" ht="20.25" customHeight="1" x14ac:dyDescent="0.25">
      <c r="A420" s="31"/>
      <c r="B420" s="39" t="s">
        <v>37</v>
      </c>
      <c r="C420" s="40">
        <v>910</v>
      </c>
      <c r="D420" s="41" t="s">
        <v>18</v>
      </c>
      <c r="E420" s="41" t="s">
        <v>287</v>
      </c>
      <c r="F420" s="42" t="s">
        <v>404</v>
      </c>
      <c r="G420" s="41" t="s">
        <v>38</v>
      </c>
      <c r="H420" s="43">
        <f>2</f>
        <v>2</v>
      </c>
    </row>
    <row r="421" spans="1:21" ht="23.25" customHeight="1" x14ac:dyDescent="0.25">
      <c r="A421" s="31"/>
      <c r="B421" s="39" t="s">
        <v>60</v>
      </c>
      <c r="C421" s="40">
        <v>910</v>
      </c>
      <c r="D421" s="41" t="s">
        <v>18</v>
      </c>
      <c r="E421" s="41" t="s">
        <v>287</v>
      </c>
      <c r="F421" s="42" t="s">
        <v>405</v>
      </c>
      <c r="G421" s="41"/>
      <c r="H421" s="43">
        <f>H422</f>
        <v>2934.2000000000003</v>
      </c>
    </row>
    <row r="422" spans="1:21" ht="21.75" customHeight="1" x14ac:dyDescent="0.25">
      <c r="A422" s="31"/>
      <c r="B422" s="44" t="s">
        <v>26</v>
      </c>
      <c r="C422" s="40">
        <v>910</v>
      </c>
      <c r="D422" s="41" t="s">
        <v>18</v>
      </c>
      <c r="E422" s="41" t="s">
        <v>287</v>
      </c>
      <c r="F422" s="42" t="s">
        <v>406</v>
      </c>
      <c r="G422" s="41"/>
      <c r="H422" s="43">
        <f>H423+H424</f>
        <v>2934.2000000000003</v>
      </c>
    </row>
    <row r="423" spans="1:21" ht="47.45" customHeight="1" x14ac:dyDescent="0.25">
      <c r="A423" s="31"/>
      <c r="B423" s="39" t="s">
        <v>28</v>
      </c>
      <c r="C423" s="40">
        <v>910</v>
      </c>
      <c r="D423" s="41" t="s">
        <v>18</v>
      </c>
      <c r="E423" s="41" t="s">
        <v>287</v>
      </c>
      <c r="F423" s="42" t="s">
        <v>406</v>
      </c>
      <c r="G423" s="41" t="s">
        <v>29</v>
      </c>
      <c r="H423" s="43">
        <f>2793.9</f>
        <v>2793.9</v>
      </c>
    </row>
    <row r="424" spans="1:21" ht="36" customHeight="1" x14ac:dyDescent="0.25">
      <c r="A424" s="31"/>
      <c r="B424" s="39" t="s">
        <v>35</v>
      </c>
      <c r="C424" s="40">
        <v>910</v>
      </c>
      <c r="D424" s="41" t="s">
        <v>18</v>
      </c>
      <c r="E424" s="41" t="s">
        <v>287</v>
      </c>
      <c r="F424" s="42" t="s">
        <v>406</v>
      </c>
      <c r="G424" s="41" t="s">
        <v>36</v>
      </c>
      <c r="H424" s="43">
        <f>140.3</f>
        <v>140.30000000000001</v>
      </c>
    </row>
    <row r="425" spans="1:21" ht="30.75" customHeight="1" x14ac:dyDescent="0.25">
      <c r="A425" s="31">
        <v>5</v>
      </c>
      <c r="B425" s="32" t="s">
        <v>407</v>
      </c>
      <c r="C425" s="33">
        <v>925</v>
      </c>
      <c r="D425" s="34"/>
      <c r="E425" s="34"/>
      <c r="F425" s="42"/>
      <c r="G425" s="34"/>
      <c r="H425" s="36">
        <f>H426+H574+H590</f>
        <v>3474125.4</v>
      </c>
    </row>
    <row r="426" spans="1:21" ht="18.75" customHeight="1" x14ac:dyDescent="0.25">
      <c r="A426" s="31"/>
      <c r="B426" s="39" t="s">
        <v>291</v>
      </c>
      <c r="C426" s="40">
        <v>925</v>
      </c>
      <c r="D426" s="41" t="s">
        <v>292</v>
      </c>
      <c r="E426" s="41" t="s">
        <v>19</v>
      </c>
      <c r="F426" s="35"/>
      <c r="G426" s="41"/>
      <c r="H426" s="43">
        <f>H427+H460+H523+H529+H509</f>
        <v>3417486.5</v>
      </c>
    </row>
    <row r="427" spans="1:21" ht="21" customHeight="1" x14ac:dyDescent="0.25">
      <c r="A427" s="31"/>
      <c r="B427" s="39" t="s">
        <v>293</v>
      </c>
      <c r="C427" s="40">
        <v>925</v>
      </c>
      <c r="D427" s="41" t="s">
        <v>292</v>
      </c>
      <c r="E427" s="41" t="s">
        <v>18</v>
      </c>
      <c r="F427" s="42"/>
      <c r="G427" s="41"/>
      <c r="H427" s="43">
        <f>H428+H452+H456</f>
        <v>914748.7</v>
      </c>
    </row>
    <row r="428" spans="1:21" ht="18" customHeight="1" x14ac:dyDescent="0.25">
      <c r="A428" s="31"/>
      <c r="B428" s="39" t="s">
        <v>408</v>
      </c>
      <c r="C428" s="40">
        <v>925</v>
      </c>
      <c r="D428" s="41" t="s">
        <v>292</v>
      </c>
      <c r="E428" s="41" t="s">
        <v>18</v>
      </c>
      <c r="F428" s="42" t="s">
        <v>409</v>
      </c>
      <c r="G428" s="41"/>
      <c r="H428" s="43">
        <f>H429</f>
        <v>911496.1</v>
      </c>
    </row>
    <row r="429" spans="1:21" ht="18" customHeight="1" x14ac:dyDescent="0.25">
      <c r="A429" s="31"/>
      <c r="B429" s="39" t="s">
        <v>410</v>
      </c>
      <c r="C429" s="40">
        <v>925</v>
      </c>
      <c r="D429" s="41" t="s">
        <v>292</v>
      </c>
      <c r="E429" s="41" t="s">
        <v>18</v>
      </c>
      <c r="F429" s="42" t="s">
        <v>411</v>
      </c>
      <c r="G429" s="41"/>
      <c r="H429" s="43">
        <f>H430+H432+H447</f>
        <v>911496.1</v>
      </c>
    </row>
    <row r="430" spans="1:21" ht="15.75" customHeight="1" x14ac:dyDescent="0.25">
      <c r="A430" s="31"/>
      <c r="B430" s="39" t="s">
        <v>123</v>
      </c>
      <c r="C430" s="40">
        <v>925</v>
      </c>
      <c r="D430" s="41" t="s">
        <v>292</v>
      </c>
      <c r="E430" s="41" t="s">
        <v>18</v>
      </c>
      <c r="F430" s="42" t="s">
        <v>412</v>
      </c>
      <c r="G430" s="41"/>
      <c r="H430" s="43">
        <f>H431</f>
        <v>2877.3</v>
      </c>
    </row>
    <row r="431" spans="1:21" ht="36.75" customHeight="1" x14ac:dyDescent="0.25">
      <c r="A431" s="31"/>
      <c r="B431" s="44" t="s">
        <v>121</v>
      </c>
      <c r="C431" s="40">
        <v>925</v>
      </c>
      <c r="D431" s="41" t="s">
        <v>292</v>
      </c>
      <c r="E431" s="41" t="s">
        <v>18</v>
      </c>
      <c r="F431" s="42" t="s">
        <v>412</v>
      </c>
      <c r="G431" s="41" t="s">
        <v>122</v>
      </c>
      <c r="H431" s="43">
        <f>3295.6-403.1-15.2</f>
        <v>2877.3</v>
      </c>
    </row>
    <row r="432" spans="1:21" ht="33.75" customHeight="1" x14ac:dyDescent="0.25">
      <c r="A432" s="31"/>
      <c r="B432" s="39" t="s">
        <v>413</v>
      </c>
      <c r="C432" s="40">
        <v>925</v>
      </c>
      <c r="D432" s="41" t="s">
        <v>292</v>
      </c>
      <c r="E432" s="41" t="s">
        <v>18</v>
      </c>
      <c r="F432" s="42" t="s">
        <v>414</v>
      </c>
      <c r="G432" s="41"/>
      <c r="H432" s="43">
        <f>H433+H435+H437+H439+H441+H443+H445</f>
        <v>898673.2</v>
      </c>
    </row>
    <row r="433" spans="1:8" ht="33" customHeight="1" x14ac:dyDescent="0.25">
      <c r="A433" s="31"/>
      <c r="B433" s="60" t="s">
        <v>103</v>
      </c>
      <c r="C433" s="40">
        <v>925</v>
      </c>
      <c r="D433" s="41" t="s">
        <v>292</v>
      </c>
      <c r="E433" s="41" t="s">
        <v>18</v>
      </c>
      <c r="F433" s="42" t="s">
        <v>415</v>
      </c>
      <c r="G433" s="41"/>
      <c r="H433" s="43">
        <f>H434</f>
        <v>216548.6</v>
      </c>
    </row>
    <row r="434" spans="1:8" ht="34.5" customHeight="1" x14ac:dyDescent="0.25">
      <c r="A434" s="31"/>
      <c r="B434" s="39" t="s">
        <v>147</v>
      </c>
      <c r="C434" s="40">
        <v>925</v>
      </c>
      <c r="D434" s="41" t="s">
        <v>292</v>
      </c>
      <c r="E434" s="41" t="s">
        <v>18</v>
      </c>
      <c r="F434" s="42" t="s">
        <v>415</v>
      </c>
      <c r="G434" s="41" t="s">
        <v>148</v>
      </c>
      <c r="H434" s="43">
        <f>87506.5+49631.2+5282.2+47500.3+17283.5+403.9+3651.5+3761.5+1512.8+15.2</f>
        <v>216548.6</v>
      </c>
    </row>
    <row r="435" spans="1:8" ht="16.5" customHeight="1" x14ac:dyDescent="0.25">
      <c r="A435" s="31"/>
      <c r="B435" s="39" t="s">
        <v>111</v>
      </c>
      <c r="C435" s="40">
        <v>925</v>
      </c>
      <c r="D435" s="41" t="s">
        <v>292</v>
      </c>
      <c r="E435" s="41" t="s">
        <v>18</v>
      </c>
      <c r="F435" s="42" t="s">
        <v>416</v>
      </c>
      <c r="G435" s="41"/>
      <c r="H435" s="43">
        <f>H436</f>
        <v>6792.7000000000007</v>
      </c>
    </row>
    <row r="436" spans="1:8" ht="36" customHeight="1" x14ac:dyDescent="0.25">
      <c r="A436" s="31"/>
      <c r="B436" s="39" t="s">
        <v>147</v>
      </c>
      <c r="C436" s="40">
        <v>925</v>
      </c>
      <c r="D436" s="41" t="s">
        <v>292</v>
      </c>
      <c r="E436" s="41" t="s">
        <v>18</v>
      </c>
      <c r="F436" s="42" t="s">
        <v>416</v>
      </c>
      <c r="G436" s="41" t="s">
        <v>148</v>
      </c>
      <c r="H436" s="43">
        <f>1086.9-140+800+4034.8+1011</f>
        <v>6792.7000000000007</v>
      </c>
    </row>
    <row r="437" spans="1:8" ht="18" customHeight="1" x14ac:dyDescent="0.25">
      <c r="A437" s="31"/>
      <c r="B437" s="39" t="s">
        <v>417</v>
      </c>
      <c r="C437" s="40">
        <v>925</v>
      </c>
      <c r="D437" s="41" t="s">
        <v>292</v>
      </c>
      <c r="E437" s="41" t="s">
        <v>18</v>
      </c>
      <c r="F437" s="42" t="s">
        <v>418</v>
      </c>
      <c r="G437" s="41"/>
      <c r="H437" s="43">
        <f>H438</f>
        <v>15164.400000000003</v>
      </c>
    </row>
    <row r="438" spans="1:8" ht="36" customHeight="1" x14ac:dyDescent="0.25">
      <c r="A438" s="31"/>
      <c r="B438" s="39" t="s">
        <v>147</v>
      </c>
      <c r="C438" s="40">
        <v>925</v>
      </c>
      <c r="D438" s="41" t="s">
        <v>292</v>
      </c>
      <c r="E438" s="41" t="s">
        <v>18</v>
      </c>
      <c r="F438" s="42" t="s">
        <v>418</v>
      </c>
      <c r="G438" s="41" t="s">
        <v>148</v>
      </c>
      <c r="H438" s="43">
        <f>152.9+64.2+7272.6+250+5166.6+9018.1-3295.6+799.7-3435.5-828.6</f>
        <v>15164.400000000003</v>
      </c>
    </row>
    <row r="439" spans="1:8" ht="99" customHeight="1" x14ac:dyDescent="0.25">
      <c r="A439" s="31"/>
      <c r="B439" s="39" t="s">
        <v>419</v>
      </c>
      <c r="C439" s="40">
        <v>925</v>
      </c>
      <c r="D439" s="41" t="s">
        <v>292</v>
      </c>
      <c r="E439" s="41" t="s">
        <v>18</v>
      </c>
      <c r="F439" s="42" t="s">
        <v>420</v>
      </c>
      <c r="G439" s="41"/>
      <c r="H439" s="43">
        <f>H440</f>
        <v>5123.8</v>
      </c>
    </row>
    <row r="440" spans="1:8" ht="34.5" customHeight="1" x14ac:dyDescent="0.25">
      <c r="A440" s="31"/>
      <c r="B440" s="39" t="s">
        <v>147</v>
      </c>
      <c r="C440" s="40">
        <v>925</v>
      </c>
      <c r="D440" s="41" t="s">
        <v>292</v>
      </c>
      <c r="E440" s="41" t="s">
        <v>18</v>
      </c>
      <c r="F440" s="42" t="s">
        <v>420</v>
      </c>
      <c r="G440" s="41" t="s">
        <v>148</v>
      </c>
      <c r="H440" s="43">
        <f>5124-0.2</f>
        <v>5123.8</v>
      </c>
    </row>
    <row r="441" spans="1:8" ht="72" customHeight="1" x14ac:dyDescent="0.25">
      <c r="A441" s="31"/>
      <c r="B441" s="39" t="s">
        <v>421</v>
      </c>
      <c r="C441" s="40">
        <v>925</v>
      </c>
      <c r="D441" s="41" t="s">
        <v>292</v>
      </c>
      <c r="E441" s="41" t="s">
        <v>18</v>
      </c>
      <c r="F441" s="42" t="s">
        <v>422</v>
      </c>
      <c r="G441" s="41"/>
      <c r="H441" s="43">
        <f>H442</f>
        <v>652630.19999999995</v>
      </c>
    </row>
    <row r="442" spans="1:8" ht="36" customHeight="1" x14ac:dyDescent="0.25">
      <c r="A442" s="31"/>
      <c r="B442" s="39" t="s">
        <v>147</v>
      </c>
      <c r="C442" s="40">
        <v>925</v>
      </c>
      <c r="D442" s="41" t="s">
        <v>292</v>
      </c>
      <c r="E442" s="41" t="s">
        <v>18</v>
      </c>
      <c r="F442" s="42" t="s">
        <v>422</v>
      </c>
      <c r="G442" s="41" t="s">
        <v>148</v>
      </c>
      <c r="H442" s="43">
        <f>659814.1-7183.9</f>
        <v>652630.19999999995</v>
      </c>
    </row>
    <row r="443" spans="1:8" ht="33.75" customHeight="1" x14ac:dyDescent="0.25">
      <c r="A443" s="31"/>
      <c r="B443" s="39" t="s">
        <v>423</v>
      </c>
      <c r="C443" s="40">
        <v>925</v>
      </c>
      <c r="D443" s="41" t="s">
        <v>292</v>
      </c>
      <c r="E443" s="41" t="s">
        <v>18</v>
      </c>
      <c r="F443" s="42" t="s">
        <v>424</v>
      </c>
      <c r="G443" s="41"/>
      <c r="H443" s="43">
        <f>H444</f>
        <v>0</v>
      </c>
    </row>
    <row r="444" spans="1:8" ht="33" customHeight="1" x14ac:dyDescent="0.25">
      <c r="A444" s="31"/>
      <c r="B444" s="39" t="s">
        <v>147</v>
      </c>
      <c r="C444" s="40">
        <v>925</v>
      </c>
      <c r="D444" s="41" t="s">
        <v>292</v>
      </c>
      <c r="E444" s="41" t="s">
        <v>18</v>
      </c>
      <c r="F444" s="42" t="s">
        <v>424</v>
      </c>
      <c r="G444" s="41" t="s">
        <v>148</v>
      </c>
      <c r="H444" s="43"/>
    </row>
    <row r="445" spans="1:8" ht="51.75" customHeight="1" x14ac:dyDescent="0.25">
      <c r="A445" s="31"/>
      <c r="B445" s="39" t="s">
        <v>425</v>
      </c>
      <c r="C445" s="40">
        <v>925</v>
      </c>
      <c r="D445" s="41" t="s">
        <v>292</v>
      </c>
      <c r="E445" s="41" t="s">
        <v>18</v>
      </c>
      <c r="F445" s="42" t="s">
        <v>426</v>
      </c>
      <c r="G445" s="41"/>
      <c r="H445" s="43">
        <f>H446</f>
        <v>2413.5</v>
      </c>
    </row>
    <row r="446" spans="1:8" ht="19.5" customHeight="1" x14ac:dyDescent="0.25">
      <c r="A446" s="31"/>
      <c r="B446" s="39" t="s">
        <v>37</v>
      </c>
      <c r="C446" s="40">
        <v>925</v>
      </c>
      <c r="D446" s="41" t="s">
        <v>292</v>
      </c>
      <c r="E446" s="41" t="s">
        <v>18</v>
      </c>
      <c r="F446" s="42" t="s">
        <v>426</v>
      </c>
      <c r="G446" s="41" t="s">
        <v>38</v>
      </c>
      <c r="H446" s="43">
        <v>2413.5</v>
      </c>
    </row>
    <row r="447" spans="1:8" ht="18.75" customHeight="1" x14ac:dyDescent="0.25">
      <c r="A447" s="31"/>
      <c r="B447" s="39" t="s">
        <v>427</v>
      </c>
      <c r="C447" s="40">
        <v>925</v>
      </c>
      <c r="D447" s="41" t="s">
        <v>292</v>
      </c>
      <c r="E447" s="41" t="s">
        <v>18</v>
      </c>
      <c r="F447" s="42" t="s">
        <v>428</v>
      </c>
      <c r="G447" s="41"/>
      <c r="H447" s="43">
        <f>H448+H450</f>
        <v>9945.5999999999985</v>
      </c>
    </row>
    <row r="448" spans="1:8" ht="22.5" customHeight="1" x14ac:dyDescent="0.25">
      <c r="A448" s="31"/>
      <c r="B448" s="39" t="s">
        <v>429</v>
      </c>
      <c r="C448" s="40">
        <v>925</v>
      </c>
      <c r="D448" s="41" t="s">
        <v>292</v>
      </c>
      <c r="E448" s="41" t="s">
        <v>18</v>
      </c>
      <c r="F448" s="42" t="s">
        <v>430</v>
      </c>
      <c r="G448" s="41"/>
      <c r="H448" s="43">
        <f>H449</f>
        <v>8763.1999999999989</v>
      </c>
    </row>
    <row r="449" spans="1:8" ht="31.5" customHeight="1" x14ac:dyDescent="0.25">
      <c r="A449" s="31"/>
      <c r="B449" s="39" t="s">
        <v>147</v>
      </c>
      <c r="C449" s="40">
        <v>925</v>
      </c>
      <c r="D449" s="41" t="s">
        <v>292</v>
      </c>
      <c r="E449" s="41" t="s">
        <v>18</v>
      </c>
      <c r="F449" s="42" t="s">
        <v>430</v>
      </c>
      <c r="G449" s="41" t="s">
        <v>148</v>
      </c>
      <c r="H449" s="43">
        <f>10910+70+596.4-599.3-518.7-1695.2</f>
        <v>8763.1999999999989</v>
      </c>
    </row>
    <row r="450" spans="1:8" ht="21" customHeight="1" x14ac:dyDescent="0.25">
      <c r="A450" s="31"/>
      <c r="B450" s="39" t="s">
        <v>417</v>
      </c>
      <c r="C450" s="40">
        <v>925</v>
      </c>
      <c r="D450" s="41" t="s">
        <v>292</v>
      </c>
      <c r="E450" s="41" t="s">
        <v>18</v>
      </c>
      <c r="F450" s="42" t="s">
        <v>431</v>
      </c>
      <c r="G450" s="41"/>
      <c r="H450" s="43">
        <f>H451</f>
        <v>1182.3999999999996</v>
      </c>
    </row>
    <row r="451" spans="1:8" ht="33" customHeight="1" x14ac:dyDescent="0.25">
      <c r="A451" s="31"/>
      <c r="B451" s="39" t="s">
        <v>147</v>
      </c>
      <c r="C451" s="40">
        <v>925</v>
      </c>
      <c r="D451" s="41" t="s">
        <v>292</v>
      </c>
      <c r="E451" s="41" t="s">
        <v>18</v>
      </c>
      <c r="F451" s="42" t="s">
        <v>431</v>
      </c>
      <c r="G451" s="41" t="s">
        <v>148</v>
      </c>
      <c r="H451" s="43">
        <f>9493.4+1041-9352</f>
        <v>1182.3999999999996</v>
      </c>
    </row>
    <row r="452" spans="1:8" ht="21" customHeight="1" x14ac:dyDescent="0.25">
      <c r="A452" s="31"/>
      <c r="B452" s="39" t="s">
        <v>432</v>
      </c>
      <c r="C452" s="40">
        <v>925</v>
      </c>
      <c r="D452" s="41" t="s">
        <v>292</v>
      </c>
      <c r="E452" s="41" t="s">
        <v>18</v>
      </c>
      <c r="F452" s="42" t="s">
        <v>433</v>
      </c>
      <c r="G452" s="41"/>
      <c r="H452" s="43">
        <f>H453</f>
        <v>3192.6</v>
      </c>
    </row>
    <row r="453" spans="1:8" ht="21" customHeight="1" x14ac:dyDescent="0.25">
      <c r="A453" s="31"/>
      <c r="B453" s="39" t="s">
        <v>434</v>
      </c>
      <c r="C453" s="40">
        <v>925</v>
      </c>
      <c r="D453" s="41" t="s">
        <v>292</v>
      </c>
      <c r="E453" s="41" t="s">
        <v>18</v>
      </c>
      <c r="F453" s="42" t="s">
        <v>435</v>
      </c>
      <c r="G453" s="41"/>
      <c r="H453" s="43">
        <f>H454</f>
        <v>3192.6</v>
      </c>
    </row>
    <row r="454" spans="1:8" ht="31.5" customHeight="1" x14ac:dyDescent="0.25">
      <c r="A454" s="31"/>
      <c r="B454" s="61" t="s">
        <v>436</v>
      </c>
      <c r="C454" s="40">
        <v>925</v>
      </c>
      <c r="D454" s="41" t="s">
        <v>292</v>
      </c>
      <c r="E454" s="41" t="s">
        <v>18</v>
      </c>
      <c r="F454" s="42" t="s">
        <v>437</v>
      </c>
      <c r="G454" s="41"/>
      <c r="H454" s="43">
        <f>H455</f>
        <v>3192.6</v>
      </c>
    </row>
    <row r="455" spans="1:8" ht="36.75" customHeight="1" x14ac:dyDescent="0.25">
      <c r="A455" s="31"/>
      <c r="B455" s="39" t="s">
        <v>147</v>
      </c>
      <c r="C455" s="40">
        <v>925</v>
      </c>
      <c r="D455" s="41" t="s">
        <v>292</v>
      </c>
      <c r="E455" s="41" t="s">
        <v>18</v>
      </c>
      <c r="F455" s="42" t="s">
        <v>437</v>
      </c>
      <c r="G455" s="41" t="s">
        <v>148</v>
      </c>
      <c r="H455" s="43">
        <f>3192.6</f>
        <v>3192.6</v>
      </c>
    </row>
    <row r="456" spans="1:8" ht="21.75" customHeight="1" x14ac:dyDescent="0.25">
      <c r="A456" s="31"/>
      <c r="B456" s="39" t="s">
        <v>256</v>
      </c>
      <c r="C456" s="40">
        <v>925</v>
      </c>
      <c r="D456" s="41" t="s">
        <v>292</v>
      </c>
      <c r="E456" s="41" t="s">
        <v>18</v>
      </c>
      <c r="F456" s="42" t="s">
        <v>257</v>
      </c>
      <c r="G456" s="41"/>
      <c r="H456" s="43">
        <f>H457</f>
        <v>60</v>
      </c>
    </row>
    <row r="457" spans="1:8" ht="38.25" customHeight="1" x14ac:dyDescent="0.25">
      <c r="A457" s="31"/>
      <c r="B457" s="39" t="s">
        <v>280</v>
      </c>
      <c r="C457" s="40">
        <v>925</v>
      </c>
      <c r="D457" s="41" t="s">
        <v>292</v>
      </c>
      <c r="E457" s="41" t="s">
        <v>18</v>
      </c>
      <c r="F457" s="42" t="s">
        <v>281</v>
      </c>
      <c r="G457" s="41"/>
      <c r="H457" s="43">
        <f>H458</f>
        <v>60</v>
      </c>
    </row>
    <row r="458" spans="1:8" ht="19.5" customHeight="1" x14ac:dyDescent="0.25">
      <c r="A458" s="31"/>
      <c r="B458" s="39" t="s">
        <v>438</v>
      </c>
      <c r="C458" s="40">
        <v>925</v>
      </c>
      <c r="D458" s="41" t="s">
        <v>292</v>
      </c>
      <c r="E458" s="41" t="s">
        <v>18</v>
      </c>
      <c r="F458" s="42" t="s">
        <v>439</v>
      </c>
      <c r="G458" s="41"/>
      <c r="H458" s="43">
        <f>H459</f>
        <v>60</v>
      </c>
    </row>
    <row r="459" spans="1:8" ht="35.25" customHeight="1" x14ac:dyDescent="0.25">
      <c r="A459" s="31"/>
      <c r="B459" s="39" t="s">
        <v>147</v>
      </c>
      <c r="C459" s="40">
        <v>925</v>
      </c>
      <c r="D459" s="41" t="s">
        <v>292</v>
      </c>
      <c r="E459" s="41" t="s">
        <v>18</v>
      </c>
      <c r="F459" s="42" t="s">
        <v>439</v>
      </c>
      <c r="G459" s="41" t="s">
        <v>148</v>
      </c>
      <c r="H459" s="43">
        <f>60</f>
        <v>60</v>
      </c>
    </row>
    <row r="460" spans="1:8" ht="20.25" customHeight="1" x14ac:dyDescent="0.25">
      <c r="A460" s="31"/>
      <c r="B460" s="39" t="s">
        <v>440</v>
      </c>
      <c r="C460" s="40">
        <v>925</v>
      </c>
      <c r="D460" s="41" t="s">
        <v>292</v>
      </c>
      <c r="E460" s="41" t="s">
        <v>41</v>
      </c>
      <c r="F460" s="42"/>
      <c r="G460" s="41"/>
      <c r="H460" s="43">
        <f>H461+H501+H505</f>
        <v>2161888.7999999998</v>
      </c>
    </row>
    <row r="461" spans="1:8" ht="19.5" customHeight="1" x14ac:dyDescent="0.25">
      <c r="A461" s="31"/>
      <c r="B461" s="39" t="s">
        <v>441</v>
      </c>
      <c r="C461" s="40">
        <v>925</v>
      </c>
      <c r="D461" s="41" t="s">
        <v>292</v>
      </c>
      <c r="E461" s="41" t="s">
        <v>41</v>
      </c>
      <c r="F461" s="42" t="s">
        <v>409</v>
      </c>
      <c r="G461" s="41"/>
      <c r="H461" s="43">
        <f>H462</f>
        <v>2159605.9</v>
      </c>
    </row>
    <row r="462" spans="1:8" ht="18.75" customHeight="1" x14ac:dyDescent="0.25">
      <c r="A462" s="31"/>
      <c r="B462" s="39" t="s">
        <v>442</v>
      </c>
      <c r="C462" s="40">
        <v>925</v>
      </c>
      <c r="D462" s="41" t="s">
        <v>292</v>
      </c>
      <c r="E462" s="41" t="s">
        <v>41</v>
      </c>
      <c r="F462" s="42" t="s">
        <v>411</v>
      </c>
      <c r="G462" s="41"/>
      <c r="H462" s="43">
        <f>H465+H491+H496+H463</f>
        <v>2159605.9</v>
      </c>
    </row>
    <row r="463" spans="1:8" ht="19.5" customHeight="1" x14ac:dyDescent="0.25">
      <c r="A463" s="31"/>
      <c r="B463" s="39" t="s">
        <v>123</v>
      </c>
      <c r="C463" s="40">
        <v>925</v>
      </c>
      <c r="D463" s="41" t="s">
        <v>292</v>
      </c>
      <c r="E463" s="41" t="s">
        <v>41</v>
      </c>
      <c r="F463" s="42" t="s">
        <v>412</v>
      </c>
      <c r="G463" s="41"/>
      <c r="H463" s="43">
        <f>H464</f>
        <v>961.5</v>
      </c>
    </row>
    <row r="464" spans="1:8" ht="33.75" customHeight="1" x14ac:dyDescent="0.25">
      <c r="A464" s="31"/>
      <c r="B464" s="39" t="s">
        <v>147</v>
      </c>
      <c r="C464" s="40">
        <v>925</v>
      </c>
      <c r="D464" s="41" t="s">
        <v>292</v>
      </c>
      <c r="E464" s="41" t="s">
        <v>41</v>
      </c>
      <c r="F464" s="42" t="s">
        <v>412</v>
      </c>
      <c r="G464" s="41" t="s">
        <v>148</v>
      </c>
      <c r="H464" s="43">
        <v>961.5</v>
      </c>
    </row>
    <row r="465" spans="1:8" ht="52.7" customHeight="1" x14ac:dyDescent="0.25">
      <c r="A465" s="31"/>
      <c r="B465" s="39" t="s">
        <v>443</v>
      </c>
      <c r="C465" s="40">
        <v>925</v>
      </c>
      <c r="D465" s="41" t="s">
        <v>292</v>
      </c>
      <c r="E465" s="41" t="s">
        <v>41</v>
      </c>
      <c r="F465" s="42" t="s">
        <v>444</v>
      </c>
      <c r="G465" s="41"/>
      <c r="H465" s="43">
        <f>H466+H472+H476+H474+H470+H478+H468+H484+H488+H480+H486+H482</f>
        <v>2052992.0999999999</v>
      </c>
    </row>
    <row r="466" spans="1:8" ht="36" customHeight="1" x14ac:dyDescent="0.25">
      <c r="A466" s="31"/>
      <c r="B466" s="60" t="s">
        <v>103</v>
      </c>
      <c r="C466" s="40">
        <v>925</v>
      </c>
      <c r="D466" s="41" t="s">
        <v>292</v>
      </c>
      <c r="E466" s="41" t="s">
        <v>41</v>
      </c>
      <c r="F466" s="42" t="s">
        <v>445</v>
      </c>
      <c r="G466" s="41"/>
      <c r="H466" s="43">
        <f>H467</f>
        <v>369319.79999999993</v>
      </c>
    </row>
    <row r="467" spans="1:8" ht="34.5" customHeight="1" x14ac:dyDescent="0.25">
      <c r="A467" s="31"/>
      <c r="B467" s="39" t="s">
        <v>147</v>
      </c>
      <c r="C467" s="40">
        <v>925</v>
      </c>
      <c r="D467" s="41" t="s">
        <v>292</v>
      </c>
      <c r="E467" s="41" t="s">
        <v>41</v>
      </c>
      <c r="F467" s="42" t="s">
        <v>445</v>
      </c>
      <c r="G467" s="41" t="s">
        <v>148</v>
      </c>
      <c r="H467" s="43">
        <f>88223.7+96551.4+11973.3+107245.5+30499.3+14826.6+20000</f>
        <v>369319.79999999993</v>
      </c>
    </row>
    <row r="468" spans="1:8" ht="28.9" customHeight="1" x14ac:dyDescent="0.25">
      <c r="A468" s="31"/>
      <c r="B468" s="39" t="s">
        <v>111</v>
      </c>
      <c r="C468" s="40">
        <v>925</v>
      </c>
      <c r="D468" s="41" t="s">
        <v>292</v>
      </c>
      <c r="E468" s="41" t="s">
        <v>41</v>
      </c>
      <c r="F468" s="42" t="s">
        <v>446</v>
      </c>
      <c r="G468" s="41"/>
      <c r="H468" s="43">
        <f>H469</f>
        <v>17252.3</v>
      </c>
    </row>
    <row r="469" spans="1:8" ht="37.5" customHeight="1" x14ac:dyDescent="0.25">
      <c r="A469" s="31"/>
      <c r="B469" s="39" t="s">
        <v>147</v>
      </c>
      <c r="C469" s="40">
        <v>925</v>
      </c>
      <c r="D469" s="41" t="s">
        <v>292</v>
      </c>
      <c r="E469" s="41" t="s">
        <v>41</v>
      </c>
      <c r="F469" s="42" t="s">
        <v>446</v>
      </c>
      <c r="G469" s="41" t="s">
        <v>148</v>
      </c>
      <c r="H469" s="43">
        <f>3512.7+150+550+6605.2+518.7+2114.4+3801.3</f>
        <v>17252.3</v>
      </c>
    </row>
    <row r="470" spans="1:8" ht="28.9" customHeight="1" x14ac:dyDescent="0.25">
      <c r="A470" s="31"/>
      <c r="B470" s="39" t="s">
        <v>417</v>
      </c>
      <c r="C470" s="40">
        <v>925</v>
      </c>
      <c r="D470" s="41" t="s">
        <v>292</v>
      </c>
      <c r="E470" s="41" t="s">
        <v>41</v>
      </c>
      <c r="F470" s="42" t="s">
        <v>447</v>
      </c>
      <c r="G470" s="41"/>
      <c r="H470" s="43">
        <f>H471</f>
        <v>31748.600000000006</v>
      </c>
    </row>
    <row r="471" spans="1:8" ht="34.5" customHeight="1" x14ac:dyDescent="0.25">
      <c r="A471" s="31"/>
      <c r="B471" s="39" t="s">
        <v>147</v>
      </c>
      <c r="C471" s="40">
        <v>925</v>
      </c>
      <c r="D471" s="41" t="s">
        <v>292</v>
      </c>
      <c r="E471" s="41" t="s">
        <v>41</v>
      </c>
      <c r="F471" s="42" t="s">
        <v>447</v>
      </c>
      <c r="G471" s="41" t="s">
        <v>148</v>
      </c>
      <c r="H471" s="43">
        <f>20103.2+775.2+4929.2+183.4+95.3+1172.9+60+1990.4+448.7+513-100+100+1477.3</f>
        <v>31748.600000000006</v>
      </c>
    </row>
    <row r="472" spans="1:8" ht="99" customHeight="1" x14ac:dyDescent="0.25">
      <c r="A472" s="31"/>
      <c r="B472" s="39" t="s">
        <v>419</v>
      </c>
      <c r="C472" s="40">
        <v>925</v>
      </c>
      <c r="D472" s="41" t="s">
        <v>292</v>
      </c>
      <c r="E472" s="41" t="s">
        <v>41</v>
      </c>
      <c r="F472" s="42" t="s">
        <v>448</v>
      </c>
      <c r="G472" s="41"/>
      <c r="H472" s="43">
        <f>H473</f>
        <v>6122.5</v>
      </c>
    </row>
    <row r="473" spans="1:8" ht="33.75" customHeight="1" x14ac:dyDescent="0.25">
      <c r="A473" s="31"/>
      <c r="B473" s="39" t="s">
        <v>147</v>
      </c>
      <c r="C473" s="40">
        <v>925</v>
      </c>
      <c r="D473" s="41" t="s">
        <v>292</v>
      </c>
      <c r="E473" s="41" t="s">
        <v>41</v>
      </c>
      <c r="F473" s="42" t="s">
        <v>448</v>
      </c>
      <c r="G473" s="41" t="s">
        <v>148</v>
      </c>
      <c r="H473" s="43">
        <f>6100.2+22.3</f>
        <v>6122.5</v>
      </c>
    </row>
    <row r="474" spans="1:8" ht="65.849999999999994" customHeight="1" x14ac:dyDescent="0.25">
      <c r="A474" s="31"/>
      <c r="B474" s="39" t="s">
        <v>421</v>
      </c>
      <c r="C474" s="40">
        <v>925</v>
      </c>
      <c r="D474" s="41" t="s">
        <v>292</v>
      </c>
      <c r="E474" s="41" t="s">
        <v>41</v>
      </c>
      <c r="F474" s="42" t="s">
        <v>449</v>
      </c>
      <c r="G474" s="41"/>
      <c r="H474" s="43">
        <f>H475</f>
        <v>1455836.6</v>
      </c>
    </row>
    <row r="475" spans="1:8" ht="35.25" customHeight="1" x14ac:dyDescent="0.25">
      <c r="A475" s="31"/>
      <c r="B475" s="39" t="s">
        <v>147</v>
      </c>
      <c r="C475" s="40">
        <v>925</v>
      </c>
      <c r="D475" s="41" t="s">
        <v>292</v>
      </c>
      <c r="E475" s="41" t="s">
        <v>41</v>
      </c>
      <c r="F475" s="42" t="s">
        <v>449</v>
      </c>
      <c r="G475" s="41" t="s">
        <v>148</v>
      </c>
      <c r="H475" s="43">
        <f>1449808+5090.8+937.8</f>
        <v>1455836.6</v>
      </c>
    </row>
    <row r="476" spans="1:8" ht="131.25" customHeight="1" x14ac:dyDescent="0.25">
      <c r="A476" s="31"/>
      <c r="B476" s="52" t="s">
        <v>450</v>
      </c>
      <c r="C476" s="40">
        <v>925</v>
      </c>
      <c r="D476" s="41" t="s">
        <v>292</v>
      </c>
      <c r="E476" s="41" t="s">
        <v>41</v>
      </c>
      <c r="F476" s="42" t="s">
        <v>451</v>
      </c>
      <c r="G476" s="41"/>
      <c r="H476" s="43">
        <f>H477</f>
        <v>37795.1</v>
      </c>
    </row>
    <row r="477" spans="1:8" ht="28.9" customHeight="1" x14ac:dyDescent="0.25">
      <c r="A477" s="31"/>
      <c r="B477" s="39" t="s">
        <v>147</v>
      </c>
      <c r="C477" s="40">
        <v>925</v>
      </c>
      <c r="D477" s="41" t="s">
        <v>292</v>
      </c>
      <c r="E477" s="41" t="s">
        <v>41</v>
      </c>
      <c r="F477" s="42" t="s">
        <v>451</v>
      </c>
      <c r="G477" s="41" t="s">
        <v>148</v>
      </c>
      <c r="H477" s="43">
        <f>42656.6-4861.5</f>
        <v>37795.1</v>
      </c>
    </row>
    <row r="478" spans="1:8" ht="137.85" customHeight="1" x14ac:dyDescent="0.25">
      <c r="A478" s="31"/>
      <c r="B478" s="52" t="s">
        <v>452</v>
      </c>
      <c r="C478" s="40">
        <v>925</v>
      </c>
      <c r="D478" s="41" t="s">
        <v>292</v>
      </c>
      <c r="E478" s="41" t="s">
        <v>41</v>
      </c>
      <c r="F478" s="42" t="s">
        <v>453</v>
      </c>
      <c r="G478" s="41"/>
      <c r="H478" s="43">
        <f>H479</f>
        <v>5376.9</v>
      </c>
    </row>
    <row r="479" spans="1:8" ht="34.5" customHeight="1" x14ac:dyDescent="0.25">
      <c r="A479" s="31"/>
      <c r="B479" s="39" t="s">
        <v>147</v>
      </c>
      <c r="C479" s="40">
        <v>925</v>
      </c>
      <c r="D479" s="41" t="s">
        <v>292</v>
      </c>
      <c r="E479" s="41" t="s">
        <v>41</v>
      </c>
      <c r="F479" s="42" t="s">
        <v>453</v>
      </c>
      <c r="G479" s="41" t="s">
        <v>148</v>
      </c>
      <c r="H479" s="43">
        <f>5376.9</f>
        <v>5376.9</v>
      </c>
    </row>
    <row r="480" spans="1:8" ht="83.25" customHeight="1" x14ac:dyDescent="0.25">
      <c r="A480" s="31"/>
      <c r="B480" s="62" t="s">
        <v>454</v>
      </c>
      <c r="C480" s="40">
        <v>925</v>
      </c>
      <c r="D480" s="41" t="s">
        <v>292</v>
      </c>
      <c r="E480" s="41" t="s">
        <v>41</v>
      </c>
      <c r="F480" s="42" t="s">
        <v>455</v>
      </c>
      <c r="G480" s="41"/>
      <c r="H480" s="43">
        <f>H481</f>
        <v>3080.4</v>
      </c>
    </row>
    <row r="481" spans="1:8" ht="35.25" customHeight="1" x14ac:dyDescent="0.25">
      <c r="A481" s="31"/>
      <c r="B481" s="39" t="s">
        <v>147</v>
      </c>
      <c r="C481" s="40">
        <v>925</v>
      </c>
      <c r="D481" s="41" t="s">
        <v>292</v>
      </c>
      <c r="E481" s="41" t="s">
        <v>41</v>
      </c>
      <c r="F481" s="42" t="s">
        <v>455</v>
      </c>
      <c r="G481" s="41" t="s">
        <v>148</v>
      </c>
      <c r="H481" s="43">
        <f>2788.8+291.6</f>
        <v>3080.4</v>
      </c>
    </row>
    <row r="482" spans="1:8" ht="33" customHeight="1" x14ac:dyDescent="0.25">
      <c r="A482" s="31"/>
      <c r="B482" s="39" t="s">
        <v>423</v>
      </c>
      <c r="C482" s="40">
        <v>925</v>
      </c>
      <c r="D482" s="41" t="s">
        <v>292</v>
      </c>
      <c r="E482" s="41" t="s">
        <v>41</v>
      </c>
      <c r="F482" s="42" t="s">
        <v>456</v>
      </c>
      <c r="G482" s="41"/>
      <c r="H482" s="43">
        <f>H483</f>
        <v>4571</v>
      </c>
    </row>
    <row r="483" spans="1:8" ht="33" customHeight="1" x14ac:dyDescent="0.25">
      <c r="A483" s="31"/>
      <c r="B483" s="39" t="s">
        <v>147</v>
      </c>
      <c r="C483" s="40">
        <v>925</v>
      </c>
      <c r="D483" s="41" t="s">
        <v>292</v>
      </c>
      <c r="E483" s="41" t="s">
        <v>41</v>
      </c>
      <c r="F483" s="42" t="s">
        <v>456</v>
      </c>
      <c r="G483" s="41" t="s">
        <v>148</v>
      </c>
      <c r="H483" s="43">
        <v>4571</v>
      </c>
    </row>
    <row r="484" spans="1:8" ht="91.35" customHeight="1" x14ac:dyDescent="0.25">
      <c r="A484" s="31"/>
      <c r="B484" s="39" t="s">
        <v>457</v>
      </c>
      <c r="C484" s="40">
        <v>925</v>
      </c>
      <c r="D484" s="41" t="s">
        <v>292</v>
      </c>
      <c r="E484" s="41" t="s">
        <v>41</v>
      </c>
      <c r="F484" s="42" t="s">
        <v>458</v>
      </c>
      <c r="G484" s="41"/>
      <c r="H484" s="43">
        <f>H485</f>
        <v>87259.799999999988</v>
      </c>
    </row>
    <row r="485" spans="1:8" ht="37.5" customHeight="1" x14ac:dyDescent="0.25">
      <c r="A485" s="31"/>
      <c r="B485" s="39" t="s">
        <v>147</v>
      </c>
      <c r="C485" s="40">
        <v>925</v>
      </c>
      <c r="D485" s="41" t="s">
        <v>292</v>
      </c>
      <c r="E485" s="41" t="s">
        <v>41</v>
      </c>
      <c r="F485" s="42" t="s">
        <v>458</v>
      </c>
      <c r="G485" s="41" t="s">
        <v>148</v>
      </c>
      <c r="H485" s="43">
        <f>4457.5+84690.9-2238.2-117.8+467.4</f>
        <v>87259.799999999988</v>
      </c>
    </row>
    <row r="486" spans="1:8" ht="93.75" customHeight="1" x14ac:dyDescent="0.25">
      <c r="A486" s="31"/>
      <c r="B486" s="62" t="s">
        <v>459</v>
      </c>
      <c r="C486" s="40">
        <v>925</v>
      </c>
      <c r="D486" s="41" t="s">
        <v>292</v>
      </c>
      <c r="E486" s="41" t="s">
        <v>41</v>
      </c>
      <c r="F486" s="42" t="s">
        <v>460</v>
      </c>
      <c r="G486" s="41"/>
      <c r="H486" s="43">
        <f>H487</f>
        <v>4942.2</v>
      </c>
    </row>
    <row r="487" spans="1:8" ht="33" customHeight="1" x14ac:dyDescent="0.25">
      <c r="A487" s="31"/>
      <c r="B487" s="39" t="s">
        <v>147</v>
      </c>
      <c r="C487" s="40">
        <v>925</v>
      </c>
      <c r="D487" s="41" t="s">
        <v>292</v>
      </c>
      <c r="E487" s="41" t="s">
        <v>41</v>
      </c>
      <c r="F487" s="42" t="s">
        <v>460</v>
      </c>
      <c r="G487" s="41" t="s">
        <v>148</v>
      </c>
      <c r="H487" s="43">
        <f>4942.2+100-100</f>
        <v>4942.2</v>
      </c>
    </row>
    <row r="488" spans="1:8" ht="54.4" customHeight="1" x14ac:dyDescent="0.25">
      <c r="A488" s="31"/>
      <c r="B488" s="62" t="s">
        <v>461</v>
      </c>
      <c r="C488" s="40">
        <v>925</v>
      </c>
      <c r="D488" s="41" t="s">
        <v>292</v>
      </c>
      <c r="E488" s="41" t="s">
        <v>41</v>
      </c>
      <c r="F488" s="42" t="s">
        <v>462</v>
      </c>
      <c r="G488" s="41"/>
      <c r="H488" s="43">
        <f>H489</f>
        <v>29686.9</v>
      </c>
    </row>
    <row r="489" spans="1:8" ht="34.5" customHeight="1" x14ac:dyDescent="0.25">
      <c r="A489" s="31"/>
      <c r="B489" s="39" t="s">
        <v>147</v>
      </c>
      <c r="C489" s="40">
        <v>925</v>
      </c>
      <c r="D489" s="41" t="s">
        <v>292</v>
      </c>
      <c r="E489" s="41" t="s">
        <v>41</v>
      </c>
      <c r="F489" s="42" t="s">
        <v>462</v>
      </c>
      <c r="G489" s="41" t="s">
        <v>148</v>
      </c>
      <c r="H489" s="43">
        <f>9461.4+14192.1+2413.4+3620</f>
        <v>29686.9</v>
      </c>
    </row>
    <row r="490" spans="1:8" ht="34.5" customHeight="1" x14ac:dyDescent="0.25">
      <c r="A490" s="31"/>
      <c r="B490" s="39" t="s">
        <v>147</v>
      </c>
      <c r="C490" s="40">
        <v>925</v>
      </c>
      <c r="D490" s="41" t="s">
        <v>292</v>
      </c>
      <c r="E490" s="41" t="s">
        <v>41</v>
      </c>
      <c r="F490" s="42" t="s">
        <v>463</v>
      </c>
      <c r="G490" s="41" t="s">
        <v>148</v>
      </c>
      <c r="H490" s="43"/>
    </row>
    <row r="491" spans="1:8" ht="28.9" customHeight="1" x14ac:dyDescent="0.25">
      <c r="A491" s="31"/>
      <c r="B491" s="39" t="s">
        <v>427</v>
      </c>
      <c r="C491" s="40">
        <v>925</v>
      </c>
      <c r="D491" s="41" t="s">
        <v>292</v>
      </c>
      <c r="E491" s="41" t="s">
        <v>41</v>
      </c>
      <c r="F491" s="42" t="s">
        <v>428</v>
      </c>
      <c r="G491" s="41"/>
      <c r="H491" s="43">
        <f>H494+H492</f>
        <v>8615.7999999999993</v>
      </c>
    </row>
    <row r="492" spans="1:8" ht="28.9" customHeight="1" x14ac:dyDescent="0.25">
      <c r="A492" s="31"/>
      <c r="B492" s="39" t="s">
        <v>111</v>
      </c>
      <c r="C492" s="40">
        <v>925</v>
      </c>
      <c r="D492" s="41" t="s">
        <v>292</v>
      </c>
      <c r="E492" s="41" t="s">
        <v>41</v>
      </c>
      <c r="F492" s="42" t="s">
        <v>430</v>
      </c>
      <c r="G492" s="41"/>
      <c r="H492" s="43">
        <f>H493</f>
        <v>8360.7999999999993</v>
      </c>
    </row>
    <row r="493" spans="1:8" ht="34.5" customHeight="1" x14ac:dyDescent="0.25">
      <c r="A493" s="31"/>
      <c r="B493" s="39" t="s">
        <v>147</v>
      </c>
      <c r="C493" s="40">
        <v>925</v>
      </c>
      <c r="D493" s="41" t="s">
        <v>292</v>
      </c>
      <c r="E493" s="41" t="s">
        <v>41</v>
      </c>
      <c r="F493" s="42" t="s">
        <v>430</v>
      </c>
      <c r="G493" s="41" t="s">
        <v>148</v>
      </c>
      <c r="H493" s="43">
        <f>12162.1+550-550-3801.3</f>
        <v>8360.7999999999993</v>
      </c>
    </row>
    <row r="494" spans="1:8" ht="28.9" customHeight="1" x14ac:dyDescent="0.25">
      <c r="A494" s="31"/>
      <c r="B494" s="39" t="s">
        <v>417</v>
      </c>
      <c r="C494" s="40">
        <v>925</v>
      </c>
      <c r="D494" s="41" t="s">
        <v>292</v>
      </c>
      <c r="E494" s="41" t="s">
        <v>41</v>
      </c>
      <c r="F494" s="42" t="s">
        <v>431</v>
      </c>
      <c r="G494" s="41"/>
      <c r="H494" s="43">
        <f>H495</f>
        <v>255</v>
      </c>
    </row>
    <row r="495" spans="1:8" ht="36" customHeight="1" x14ac:dyDescent="0.25">
      <c r="A495" s="31"/>
      <c r="B495" s="39" t="s">
        <v>147</v>
      </c>
      <c r="C495" s="40">
        <v>925</v>
      </c>
      <c r="D495" s="41" t="s">
        <v>292</v>
      </c>
      <c r="E495" s="41" t="s">
        <v>41</v>
      </c>
      <c r="F495" s="42" t="s">
        <v>431</v>
      </c>
      <c r="G495" s="41" t="s">
        <v>148</v>
      </c>
      <c r="H495" s="43">
        <f>255</f>
        <v>255</v>
      </c>
    </row>
    <row r="496" spans="1:8" ht="28.9" customHeight="1" x14ac:dyDescent="0.25">
      <c r="A496" s="31"/>
      <c r="B496" s="39" t="s">
        <v>464</v>
      </c>
      <c r="C496" s="40">
        <v>925</v>
      </c>
      <c r="D496" s="41" t="s">
        <v>292</v>
      </c>
      <c r="E496" s="41" t="s">
        <v>41</v>
      </c>
      <c r="F496" s="42" t="s">
        <v>465</v>
      </c>
      <c r="G496" s="41"/>
      <c r="H496" s="43">
        <f>H497+H499</f>
        <v>97036.5</v>
      </c>
    </row>
    <row r="497" spans="1:8" ht="50.85" customHeight="1" x14ac:dyDescent="0.25">
      <c r="A497" s="31"/>
      <c r="B497" s="39" t="s">
        <v>466</v>
      </c>
      <c r="C497" s="40">
        <v>925</v>
      </c>
      <c r="D497" s="41" t="s">
        <v>292</v>
      </c>
      <c r="E497" s="41" t="s">
        <v>41</v>
      </c>
      <c r="F497" s="42" t="s">
        <v>467</v>
      </c>
      <c r="G497" s="41"/>
      <c r="H497" s="43">
        <f>H498</f>
        <v>6592.3</v>
      </c>
    </row>
    <row r="498" spans="1:8" ht="36.75" customHeight="1" x14ac:dyDescent="0.25">
      <c r="A498" s="31"/>
      <c r="B498" s="39" t="s">
        <v>147</v>
      </c>
      <c r="C498" s="40">
        <v>925</v>
      </c>
      <c r="D498" s="41" t="s">
        <v>292</v>
      </c>
      <c r="E498" s="41" t="s">
        <v>41</v>
      </c>
      <c r="F498" s="42" t="s">
        <v>467</v>
      </c>
      <c r="G498" s="41" t="s">
        <v>148</v>
      </c>
      <c r="H498" s="43">
        <f>6569.1+23.2</f>
        <v>6592.3</v>
      </c>
    </row>
    <row r="499" spans="1:8" ht="99" customHeight="1" x14ac:dyDescent="0.25">
      <c r="A499" s="31"/>
      <c r="B499" s="39" t="s">
        <v>468</v>
      </c>
      <c r="C499" s="40">
        <v>925</v>
      </c>
      <c r="D499" s="41" t="s">
        <v>292</v>
      </c>
      <c r="E499" s="41" t="s">
        <v>41</v>
      </c>
      <c r="F499" s="42" t="s">
        <v>469</v>
      </c>
      <c r="G499" s="41"/>
      <c r="H499" s="43">
        <f>H500</f>
        <v>90444.2</v>
      </c>
    </row>
    <row r="500" spans="1:8" ht="36.75" customHeight="1" x14ac:dyDescent="0.25">
      <c r="A500" s="31"/>
      <c r="B500" s="39" t="s">
        <v>147</v>
      </c>
      <c r="C500" s="40">
        <v>925</v>
      </c>
      <c r="D500" s="41" t="s">
        <v>292</v>
      </c>
      <c r="E500" s="41" t="s">
        <v>41</v>
      </c>
      <c r="F500" s="42" t="s">
        <v>469</v>
      </c>
      <c r="G500" s="41" t="s">
        <v>148</v>
      </c>
      <c r="H500" s="43">
        <f>90444.2</f>
        <v>90444.2</v>
      </c>
    </row>
    <row r="501" spans="1:8" ht="28.9" customHeight="1" x14ac:dyDescent="0.25">
      <c r="A501" s="31"/>
      <c r="B501" s="39" t="s">
        <v>432</v>
      </c>
      <c r="C501" s="40">
        <v>925</v>
      </c>
      <c r="D501" s="41" t="s">
        <v>292</v>
      </c>
      <c r="E501" s="41" t="s">
        <v>41</v>
      </c>
      <c r="F501" s="42" t="s">
        <v>433</v>
      </c>
      <c r="G501" s="41"/>
      <c r="H501" s="43">
        <f>H502</f>
        <v>2122.9</v>
      </c>
    </row>
    <row r="502" spans="1:8" ht="28.9" customHeight="1" x14ac:dyDescent="0.25">
      <c r="A502" s="31"/>
      <c r="B502" s="39" t="s">
        <v>434</v>
      </c>
      <c r="C502" s="40">
        <v>925</v>
      </c>
      <c r="D502" s="41" t="s">
        <v>292</v>
      </c>
      <c r="E502" s="41" t="s">
        <v>41</v>
      </c>
      <c r="F502" s="42" t="s">
        <v>435</v>
      </c>
      <c r="G502" s="41"/>
      <c r="H502" s="43">
        <f>H503</f>
        <v>2122.9</v>
      </c>
    </row>
    <row r="503" spans="1:8" ht="36" customHeight="1" x14ac:dyDescent="0.25">
      <c r="A503" s="31"/>
      <c r="B503" s="61" t="s">
        <v>436</v>
      </c>
      <c r="C503" s="40">
        <v>925</v>
      </c>
      <c r="D503" s="41" t="s">
        <v>292</v>
      </c>
      <c r="E503" s="41" t="s">
        <v>41</v>
      </c>
      <c r="F503" s="42" t="s">
        <v>437</v>
      </c>
      <c r="G503" s="41"/>
      <c r="H503" s="43">
        <f>H504</f>
        <v>2122.9</v>
      </c>
    </row>
    <row r="504" spans="1:8" ht="35.25" customHeight="1" x14ac:dyDescent="0.25">
      <c r="A504" s="31"/>
      <c r="B504" s="39" t="s">
        <v>147</v>
      </c>
      <c r="C504" s="40">
        <v>925</v>
      </c>
      <c r="D504" s="41" t="s">
        <v>292</v>
      </c>
      <c r="E504" s="41" t="s">
        <v>41</v>
      </c>
      <c r="F504" s="42" t="s">
        <v>437</v>
      </c>
      <c r="G504" s="41" t="s">
        <v>148</v>
      </c>
      <c r="H504" s="43">
        <f>2122.9</f>
        <v>2122.9</v>
      </c>
    </row>
    <row r="505" spans="1:8" ht="19.5" customHeight="1" x14ac:dyDescent="0.25">
      <c r="A505" s="31"/>
      <c r="B505" s="39" t="s">
        <v>256</v>
      </c>
      <c r="C505" s="40">
        <v>925</v>
      </c>
      <c r="D505" s="41" t="s">
        <v>292</v>
      </c>
      <c r="E505" s="41" t="s">
        <v>41</v>
      </c>
      <c r="F505" s="42" t="s">
        <v>257</v>
      </c>
      <c r="G505" s="41"/>
      <c r="H505" s="43">
        <f>H506</f>
        <v>160</v>
      </c>
    </row>
    <row r="506" spans="1:8" ht="36.75" customHeight="1" x14ac:dyDescent="0.25">
      <c r="A506" s="31"/>
      <c r="B506" s="39" t="s">
        <v>280</v>
      </c>
      <c r="C506" s="40">
        <v>925</v>
      </c>
      <c r="D506" s="41" t="s">
        <v>292</v>
      </c>
      <c r="E506" s="41" t="s">
        <v>41</v>
      </c>
      <c r="F506" s="42" t="s">
        <v>281</v>
      </c>
      <c r="G506" s="41"/>
      <c r="H506" s="43">
        <f>H507</f>
        <v>160</v>
      </c>
    </row>
    <row r="507" spans="1:8" ht="28.9" customHeight="1" x14ac:dyDescent="0.25">
      <c r="A507" s="31"/>
      <c r="B507" s="39" t="s">
        <v>438</v>
      </c>
      <c r="C507" s="40">
        <v>925</v>
      </c>
      <c r="D507" s="41" t="s">
        <v>292</v>
      </c>
      <c r="E507" s="41" t="s">
        <v>41</v>
      </c>
      <c r="F507" s="42" t="s">
        <v>439</v>
      </c>
      <c r="G507" s="41"/>
      <c r="H507" s="43">
        <f>H508</f>
        <v>160</v>
      </c>
    </row>
    <row r="508" spans="1:8" ht="36" customHeight="1" x14ac:dyDescent="0.25">
      <c r="A508" s="31"/>
      <c r="B508" s="39" t="s">
        <v>147</v>
      </c>
      <c r="C508" s="40">
        <v>925</v>
      </c>
      <c r="D508" s="41" t="s">
        <v>292</v>
      </c>
      <c r="E508" s="41" t="s">
        <v>41</v>
      </c>
      <c r="F508" s="42" t="s">
        <v>439</v>
      </c>
      <c r="G508" s="41" t="s">
        <v>148</v>
      </c>
      <c r="H508" s="43">
        <f>160</f>
        <v>160</v>
      </c>
    </row>
    <row r="509" spans="1:8" ht="28.9" customHeight="1" x14ac:dyDescent="0.25">
      <c r="A509" s="31"/>
      <c r="B509" s="56" t="s">
        <v>470</v>
      </c>
      <c r="C509" s="40">
        <v>925</v>
      </c>
      <c r="D509" s="41" t="s">
        <v>292</v>
      </c>
      <c r="E509" s="41" t="s">
        <v>21</v>
      </c>
      <c r="F509" s="42"/>
      <c r="G509" s="41"/>
      <c r="H509" s="43">
        <f>H510</f>
        <v>73451.7</v>
      </c>
    </row>
    <row r="510" spans="1:8" ht="28.9" customHeight="1" x14ac:dyDescent="0.25">
      <c r="A510" s="31"/>
      <c r="B510" s="39" t="s">
        <v>441</v>
      </c>
      <c r="C510" s="40">
        <v>925</v>
      </c>
      <c r="D510" s="41" t="s">
        <v>292</v>
      </c>
      <c r="E510" s="41" t="s">
        <v>21</v>
      </c>
      <c r="F510" s="42" t="s">
        <v>409</v>
      </c>
      <c r="G510" s="41"/>
      <c r="H510" s="43">
        <f>H511</f>
        <v>73451.7</v>
      </c>
    </row>
    <row r="511" spans="1:8" ht="28.9" customHeight="1" x14ac:dyDescent="0.25">
      <c r="A511" s="31"/>
      <c r="B511" s="39" t="s">
        <v>442</v>
      </c>
      <c r="C511" s="40">
        <v>925</v>
      </c>
      <c r="D511" s="41" t="s">
        <v>292</v>
      </c>
      <c r="E511" s="41" t="s">
        <v>21</v>
      </c>
      <c r="F511" s="42" t="s">
        <v>411</v>
      </c>
      <c r="G511" s="41"/>
      <c r="H511" s="43">
        <f>H512+H519</f>
        <v>73451.7</v>
      </c>
    </row>
    <row r="512" spans="1:8" ht="34.5" customHeight="1" x14ac:dyDescent="0.25">
      <c r="A512" s="31"/>
      <c r="B512" s="39" t="s">
        <v>471</v>
      </c>
      <c r="C512" s="40">
        <v>925</v>
      </c>
      <c r="D512" s="41" t="s">
        <v>292</v>
      </c>
      <c r="E512" s="41" t="s">
        <v>21</v>
      </c>
      <c r="F512" s="42" t="s">
        <v>472</v>
      </c>
      <c r="G512" s="41"/>
      <c r="H512" s="43">
        <f>H513+H515+H517</f>
        <v>60095.199999999997</v>
      </c>
    </row>
    <row r="513" spans="1:8" ht="33.75" customHeight="1" x14ac:dyDescent="0.25">
      <c r="A513" s="31"/>
      <c r="B513" s="60" t="s">
        <v>103</v>
      </c>
      <c r="C513" s="40">
        <v>925</v>
      </c>
      <c r="D513" s="41" t="s">
        <v>292</v>
      </c>
      <c r="E513" s="41" t="s">
        <v>21</v>
      </c>
      <c r="F513" s="42" t="s">
        <v>473</v>
      </c>
      <c r="G513" s="41"/>
      <c r="H513" s="43">
        <f>H514</f>
        <v>59667.5</v>
      </c>
    </row>
    <row r="514" spans="1:8" ht="33" customHeight="1" x14ac:dyDescent="0.25">
      <c r="A514" s="31"/>
      <c r="B514" s="39" t="s">
        <v>147</v>
      </c>
      <c r="C514" s="40">
        <v>925</v>
      </c>
      <c r="D514" s="41" t="s">
        <v>292</v>
      </c>
      <c r="E514" s="41" t="s">
        <v>21</v>
      </c>
      <c r="F514" s="42" t="s">
        <v>473</v>
      </c>
      <c r="G514" s="41" t="s">
        <v>148</v>
      </c>
      <c r="H514" s="43">
        <f>58903.8+2208+217.9+3013-5458.4+783.2</f>
        <v>59667.5</v>
      </c>
    </row>
    <row r="515" spans="1:8" ht="18.75" customHeight="1" x14ac:dyDescent="0.25">
      <c r="A515" s="31"/>
      <c r="B515" s="39" t="s">
        <v>417</v>
      </c>
      <c r="C515" s="40">
        <v>925</v>
      </c>
      <c r="D515" s="41" t="s">
        <v>292</v>
      </c>
      <c r="E515" s="41" t="s">
        <v>21</v>
      </c>
      <c r="F515" s="42" t="s">
        <v>474</v>
      </c>
      <c r="G515" s="41"/>
      <c r="H515" s="43">
        <f>H516</f>
        <v>0</v>
      </c>
    </row>
    <row r="516" spans="1:8" ht="33.75" customHeight="1" x14ac:dyDescent="0.25">
      <c r="A516" s="31"/>
      <c r="B516" s="39" t="s">
        <v>147</v>
      </c>
      <c r="C516" s="40">
        <v>925</v>
      </c>
      <c r="D516" s="41" t="s">
        <v>292</v>
      </c>
      <c r="E516" s="41" t="s">
        <v>21</v>
      </c>
      <c r="F516" s="42" t="s">
        <v>474</v>
      </c>
      <c r="G516" s="41" t="s">
        <v>148</v>
      </c>
      <c r="H516" s="43"/>
    </row>
    <row r="517" spans="1:8" ht="93.75" customHeight="1" x14ac:dyDescent="0.25">
      <c r="A517" s="31"/>
      <c r="B517" s="39" t="s">
        <v>419</v>
      </c>
      <c r="C517" s="40">
        <v>925</v>
      </c>
      <c r="D517" s="41" t="s">
        <v>292</v>
      </c>
      <c r="E517" s="41" t="s">
        <v>21</v>
      </c>
      <c r="F517" s="42" t="s">
        <v>475</v>
      </c>
      <c r="G517" s="41"/>
      <c r="H517" s="43">
        <f>H518</f>
        <v>427.7</v>
      </c>
    </row>
    <row r="518" spans="1:8" ht="36.75" customHeight="1" x14ac:dyDescent="0.25">
      <c r="A518" s="31"/>
      <c r="B518" s="39" t="s">
        <v>147</v>
      </c>
      <c r="C518" s="40">
        <v>925</v>
      </c>
      <c r="D518" s="41" t="s">
        <v>292</v>
      </c>
      <c r="E518" s="41" t="s">
        <v>21</v>
      </c>
      <c r="F518" s="42" t="s">
        <v>475</v>
      </c>
      <c r="G518" s="41" t="s">
        <v>148</v>
      </c>
      <c r="H518" s="43">
        <f>282.8+156-11.1</f>
        <v>427.7</v>
      </c>
    </row>
    <row r="519" spans="1:8" ht="37.5" customHeight="1" x14ac:dyDescent="0.25">
      <c r="A519" s="31"/>
      <c r="B519" s="39" t="s">
        <v>476</v>
      </c>
      <c r="C519" s="40">
        <v>925</v>
      </c>
      <c r="D519" s="41" t="s">
        <v>292</v>
      </c>
      <c r="E519" s="41" t="s">
        <v>21</v>
      </c>
      <c r="F519" s="42" t="s">
        <v>477</v>
      </c>
      <c r="G519" s="41"/>
      <c r="H519" s="43">
        <f>H520</f>
        <v>13356.5</v>
      </c>
    </row>
    <row r="520" spans="1:8" ht="34.5" customHeight="1" x14ac:dyDescent="0.25">
      <c r="A520" s="31"/>
      <c r="B520" s="60" t="s">
        <v>103</v>
      </c>
      <c r="C520" s="40">
        <v>925</v>
      </c>
      <c r="D520" s="41" t="s">
        <v>292</v>
      </c>
      <c r="E520" s="41" t="s">
        <v>21</v>
      </c>
      <c r="F520" s="42" t="s">
        <v>478</v>
      </c>
      <c r="G520" s="41"/>
      <c r="H520" s="43">
        <f>H521+H522</f>
        <v>13356.5</v>
      </c>
    </row>
    <row r="521" spans="1:8" ht="33.75" customHeight="1" x14ac:dyDescent="0.25">
      <c r="A521" s="31"/>
      <c r="B521" s="39" t="s">
        <v>147</v>
      </c>
      <c r="C521" s="40">
        <v>925</v>
      </c>
      <c r="D521" s="41" t="s">
        <v>292</v>
      </c>
      <c r="E521" s="41" t="s">
        <v>21</v>
      </c>
      <c r="F521" s="42" t="s">
        <v>478</v>
      </c>
      <c r="G521" s="41" t="s">
        <v>148</v>
      </c>
      <c r="H521" s="43">
        <f>7735+713.1+5342.3-783.2</f>
        <v>13007.2</v>
      </c>
    </row>
    <row r="522" spans="1:8" ht="28.9" customHeight="1" x14ac:dyDescent="0.25">
      <c r="A522" s="31"/>
      <c r="B522" s="39" t="s">
        <v>37</v>
      </c>
      <c r="C522" s="40">
        <v>925</v>
      </c>
      <c r="D522" s="41" t="s">
        <v>292</v>
      </c>
      <c r="E522" s="41" t="s">
        <v>21</v>
      </c>
      <c r="F522" s="42" t="s">
        <v>478</v>
      </c>
      <c r="G522" s="41" t="s">
        <v>38</v>
      </c>
      <c r="H522" s="43">
        <f>237.7+111.6</f>
        <v>349.29999999999995</v>
      </c>
    </row>
    <row r="523" spans="1:8" ht="28.9" customHeight="1" x14ac:dyDescent="0.25">
      <c r="A523" s="31"/>
      <c r="B523" s="39" t="s">
        <v>479</v>
      </c>
      <c r="C523" s="40">
        <v>925</v>
      </c>
      <c r="D523" s="41" t="s">
        <v>292</v>
      </c>
      <c r="E523" s="41" t="s">
        <v>84</v>
      </c>
      <c r="F523" s="42"/>
      <c r="G523" s="41"/>
      <c r="H523" s="43">
        <f>H524</f>
        <v>300</v>
      </c>
    </row>
    <row r="524" spans="1:8" ht="28.9" customHeight="1" x14ac:dyDescent="0.25">
      <c r="A524" s="31"/>
      <c r="B524" s="39" t="s">
        <v>441</v>
      </c>
      <c r="C524" s="40">
        <v>925</v>
      </c>
      <c r="D524" s="41" t="s">
        <v>292</v>
      </c>
      <c r="E524" s="41" t="s">
        <v>84</v>
      </c>
      <c r="F524" s="42" t="s">
        <v>409</v>
      </c>
      <c r="G524" s="41"/>
      <c r="H524" s="43">
        <f>H525</f>
        <v>300</v>
      </c>
    </row>
    <row r="525" spans="1:8" ht="28.9" customHeight="1" x14ac:dyDescent="0.25">
      <c r="A525" s="31"/>
      <c r="B525" s="39" t="s">
        <v>410</v>
      </c>
      <c r="C525" s="40">
        <v>925</v>
      </c>
      <c r="D525" s="41" t="s">
        <v>292</v>
      </c>
      <c r="E525" s="41" t="s">
        <v>84</v>
      </c>
      <c r="F525" s="42" t="s">
        <v>411</v>
      </c>
      <c r="G525" s="41"/>
      <c r="H525" s="43">
        <f>H526</f>
        <v>300</v>
      </c>
    </row>
    <row r="526" spans="1:8" ht="34.5" customHeight="1" x14ac:dyDescent="0.25">
      <c r="A526" s="31"/>
      <c r="B526" s="39" t="s">
        <v>480</v>
      </c>
      <c r="C526" s="40">
        <v>925</v>
      </c>
      <c r="D526" s="41" t="s">
        <v>292</v>
      </c>
      <c r="E526" s="41" t="s">
        <v>84</v>
      </c>
      <c r="F526" s="42" t="s">
        <v>481</v>
      </c>
      <c r="G526" s="41"/>
      <c r="H526" s="43">
        <f>H527</f>
        <v>300</v>
      </c>
    </row>
    <row r="527" spans="1:8" ht="16.5" customHeight="1" x14ac:dyDescent="0.25">
      <c r="A527" s="31"/>
      <c r="B527" s="39" t="s">
        <v>417</v>
      </c>
      <c r="C527" s="40">
        <v>925</v>
      </c>
      <c r="D527" s="41" t="s">
        <v>292</v>
      </c>
      <c r="E527" s="41" t="s">
        <v>84</v>
      </c>
      <c r="F527" s="42" t="s">
        <v>482</v>
      </c>
      <c r="G527" s="41"/>
      <c r="H527" s="43">
        <f>H528</f>
        <v>300</v>
      </c>
    </row>
    <row r="528" spans="1:8" ht="34.5" customHeight="1" x14ac:dyDescent="0.25">
      <c r="A528" s="31"/>
      <c r="B528" s="39" t="s">
        <v>147</v>
      </c>
      <c r="C528" s="40">
        <v>925</v>
      </c>
      <c r="D528" s="41" t="s">
        <v>292</v>
      </c>
      <c r="E528" s="41" t="s">
        <v>84</v>
      </c>
      <c r="F528" s="42" t="s">
        <v>482</v>
      </c>
      <c r="G528" s="41" t="s">
        <v>148</v>
      </c>
      <c r="H528" s="43">
        <f>300</f>
        <v>300</v>
      </c>
    </row>
    <row r="529" spans="1:8" ht="28.9" customHeight="1" x14ac:dyDescent="0.25">
      <c r="A529" s="31"/>
      <c r="B529" s="39" t="s">
        <v>296</v>
      </c>
      <c r="C529" s="40">
        <v>925</v>
      </c>
      <c r="D529" s="41" t="s">
        <v>292</v>
      </c>
      <c r="E529" s="41" t="s">
        <v>135</v>
      </c>
      <c r="F529" s="42"/>
      <c r="G529" s="41"/>
      <c r="H529" s="43">
        <f>H530+H567+H552</f>
        <v>267097.30000000005</v>
      </c>
    </row>
    <row r="530" spans="1:8" ht="28.9" customHeight="1" x14ac:dyDescent="0.25">
      <c r="A530" s="31"/>
      <c r="B530" s="39" t="s">
        <v>441</v>
      </c>
      <c r="C530" s="40">
        <v>925</v>
      </c>
      <c r="D530" s="41" t="s">
        <v>292</v>
      </c>
      <c r="E530" s="41" t="s">
        <v>135</v>
      </c>
      <c r="F530" s="42" t="s">
        <v>409</v>
      </c>
      <c r="G530" s="41"/>
      <c r="H530" s="43">
        <f>H531</f>
        <v>254456.40000000002</v>
      </c>
    </row>
    <row r="531" spans="1:8" ht="28.9" customHeight="1" x14ac:dyDescent="0.25">
      <c r="A531" s="31"/>
      <c r="B531" s="39" t="s">
        <v>410</v>
      </c>
      <c r="C531" s="40">
        <v>925</v>
      </c>
      <c r="D531" s="41" t="s">
        <v>292</v>
      </c>
      <c r="E531" s="41" t="s">
        <v>135</v>
      </c>
      <c r="F531" s="42" t="s">
        <v>411</v>
      </c>
      <c r="G531" s="41"/>
      <c r="H531" s="43">
        <f>H535+H538+H532+H550</f>
        <v>254456.40000000002</v>
      </c>
    </row>
    <row r="532" spans="1:8" ht="28.9" customHeight="1" x14ac:dyDescent="0.25">
      <c r="A532" s="31"/>
      <c r="B532" s="39" t="s">
        <v>483</v>
      </c>
      <c r="C532" s="40">
        <v>925</v>
      </c>
      <c r="D532" s="41" t="s">
        <v>292</v>
      </c>
      <c r="E532" s="41" t="s">
        <v>135</v>
      </c>
      <c r="F532" s="42" t="s">
        <v>484</v>
      </c>
      <c r="G532" s="41"/>
      <c r="H532" s="43">
        <f>H533</f>
        <v>0</v>
      </c>
    </row>
    <row r="533" spans="1:8" ht="28.9" customHeight="1" x14ac:dyDescent="0.25">
      <c r="A533" s="31"/>
      <c r="B533" s="39" t="s">
        <v>485</v>
      </c>
      <c r="C533" s="40">
        <v>925</v>
      </c>
      <c r="D533" s="41" t="s">
        <v>292</v>
      </c>
      <c r="E533" s="41" t="s">
        <v>135</v>
      </c>
      <c r="F533" s="42" t="s">
        <v>486</v>
      </c>
      <c r="G533" s="41"/>
      <c r="H533" s="43">
        <f>H534</f>
        <v>0</v>
      </c>
    </row>
    <row r="534" spans="1:8" ht="31.5" customHeight="1" x14ac:dyDescent="0.25">
      <c r="A534" s="31"/>
      <c r="B534" s="39" t="s">
        <v>35</v>
      </c>
      <c r="C534" s="40">
        <v>925</v>
      </c>
      <c r="D534" s="41" t="s">
        <v>292</v>
      </c>
      <c r="E534" s="41" t="s">
        <v>135</v>
      </c>
      <c r="F534" s="42" t="s">
        <v>486</v>
      </c>
      <c r="G534" s="41" t="s">
        <v>36</v>
      </c>
      <c r="H534" s="43">
        <f>200-200</f>
        <v>0</v>
      </c>
    </row>
    <row r="535" spans="1:8" ht="25.5" customHeight="1" x14ac:dyDescent="0.25">
      <c r="A535" s="31"/>
      <c r="B535" s="39" t="s">
        <v>487</v>
      </c>
      <c r="C535" s="40">
        <v>925</v>
      </c>
      <c r="D535" s="41" t="s">
        <v>292</v>
      </c>
      <c r="E535" s="41" t="s">
        <v>135</v>
      </c>
      <c r="F535" s="42" t="s">
        <v>488</v>
      </c>
      <c r="G535" s="41"/>
      <c r="H535" s="43">
        <f>H536</f>
        <v>130537.20000000001</v>
      </c>
    </row>
    <row r="536" spans="1:8" ht="18.75" customHeight="1" x14ac:dyDescent="0.25">
      <c r="A536" s="31"/>
      <c r="B536" s="39" t="s">
        <v>417</v>
      </c>
      <c r="C536" s="40">
        <v>925</v>
      </c>
      <c r="D536" s="41" t="s">
        <v>292</v>
      </c>
      <c r="E536" s="41" t="s">
        <v>135</v>
      </c>
      <c r="F536" s="42" t="s">
        <v>489</v>
      </c>
      <c r="G536" s="41"/>
      <c r="H536" s="43">
        <f>H537</f>
        <v>130537.20000000001</v>
      </c>
    </row>
    <row r="537" spans="1:8" ht="30" customHeight="1" x14ac:dyDescent="0.25">
      <c r="A537" s="31"/>
      <c r="B537" s="39" t="s">
        <v>147</v>
      </c>
      <c r="C537" s="40">
        <v>925</v>
      </c>
      <c r="D537" s="41" t="s">
        <v>292</v>
      </c>
      <c r="E537" s="41" t="s">
        <v>135</v>
      </c>
      <c r="F537" s="42" t="s">
        <v>489</v>
      </c>
      <c r="G537" s="41" t="s">
        <v>148</v>
      </c>
      <c r="H537" s="43">
        <f>18098.5+900+109714+1000+300+121.6+403.1</f>
        <v>130537.20000000001</v>
      </c>
    </row>
    <row r="538" spans="1:8" ht="36" customHeight="1" x14ac:dyDescent="0.25">
      <c r="A538" s="31"/>
      <c r="B538" s="39" t="s">
        <v>490</v>
      </c>
      <c r="C538" s="40">
        <v>925</v>
      </c>
      <c r="D538" s="41" t="s">
        <v>292</v>
      </c>
      <c r="E538" s="41" t="s">
        <v>135</v>
      </c>
      <c r="F538" s="42" t="s">
        <v>491</v>
      </c>
      <c r="G538" s="41"/>
      <c r="H538" s="43">
        <f>H539+H543+H547</f>
        <v>121679.70000000001</v>
      </c>
    </row>
    <row r="539" spans="1:8" ht="28.9" customHeight="1" x14ac:dyDescent="0.25">
      <c r="A539" s="31"/>
      <c r="B539" s="39" t="s">
        <v>26</v>
      </c>
      <c r="C539" s="40">
        <v>925</v>
      </c>
      <c r="D539" s="41" t="s">
        <v>292</v>
      </c>
      <c r="E539" s="41" t="s">
        <v>135</v>
      </c>
      <c r="F539" s="42" t="s">
        <v>492</v>
      </c>
      <c r="G539" s="41"/>
      <c r="H539" s="43">
        <f>H540+H541+H542</f>
        <v>18868.900000000001</v>
      </c>
    </row>
    <row r="540" spans="1:8" ht="50.1" customHeight="1" x14ac:dyDescent="0.25">
      <c r="A540" s="31"/>
      <c r="B540" s="39" t="s">
        <v>28</v>
      </c>
      <c r="C540" s="40">
        <v>925</v>
      </c>
      <c r="D540" s="41" t="s">
        <v>292</v>
      </c>
      <c r="E540" s="41" t="s">
        <v>135</v>
      </c>
      <c r="F540" s="42" t="s">
        <v>492</v>
      </c>
      <c r="G540" s="41" t="s">
        <v>29</v>
      </c>
      <c r="H540" s="43">
        <f>14747.6+183+1109.6</f>
        <v>16040.2</v>
      </c>
    </row>
    <row r="541" spans="1:8" ht="33.75" customHeight="1" x14ac:dyDescent="0.25">
      <c r="A541" s="31"/>
      <c r="B541" s="39" t="s">
        <v>35</v>
      </c>
      <c r="C541" s="40">
        <v>925</v>
      </c>
      <c r="D541" s="41" t="s">
        <v>292</v>
      </c>
      <c r="E541" s="41" t="s">
        <v>135</v>
      </c>
      <c r="F541" s="42" t="s">
        <v>492</v>
      </c>
      <c r="G541" s="41" t="s">
        <v>36</v>
      </c>
      <c r="H541" s="43">
        <f>3077.4-248.7</f>
        <v>2828.7000000000003</v>
      </c>
    </row>
    <row r="542" spans="1:8" ht="16.5" customHeight="1" x14ac:dyDescent="0.25">
      <c r="A542" s="31"/>
      <c r="B542" s="39" t="s">
        <v>37</v>
      </c>
      <c r="C542" s="40">
        <v>925</v>
      </c>
      <c r="D542" s="41" t="s">
        <v>292</v>
      </c>
      <c r="E542" s="41" t="s">
        <v>135</v>
      </c>
      <c r="F542" s="42" t="s">
        <v>492</v>
      </c>
      <c r="G542" s="41" t="s">
        <v>38</v>
      </c>
      <c r="H542" s="43"/>
    </row>
    <row r="543" spans="1:8" ht="33" customHeight="1" x14ac:dyDescent="0.25">
      <c r="A543" s="31"/>
      <c r="B543" s="39" t="s">
        <v>103</v>
      </c>
      <c r="C543" s="40">
        <v>925</v>
      </c>
      <c r="D543" s="41" t="s">
        <v>292</v>
      </c>
      <c r="E543" s="41" t="s">
        <v>135</v>
      </c>
      <c r="F543" s="42" t="s">
        <v>493</v>
      </c>
      <c r="G543" s="41"/>
      <c r="H543" s="43">
        <f>H544+H545+H546</f>
        <v>71197.8</v>
      </c>
    </row>
    <row r="544" spans="1:8" ht="48.75" customHeight="1" x14ac:dyDescent="0.25">
      <c r="A544" s="31"/>
      <c r="B544" s="39" t="s">
        <v>28</v>
      </c>
      <c r="C544" s="40">
        <v>925</v>
      </c>
      <c r="D544" s="41" t="s">
        <v>292</v>
      </c>
      <c r="E544" s="41" t="s">
        <v>135</v>
      </c>
      <c r="F544" s="42" t="s">
        <v>493</v>
      </c>
      <c r="G544" s="41" t="s">
        <v>29</v>
      </c>
      <c r="H544" s="43">
        <f>62036.8+43+26.4</f>
        <v>62106.200000000004</v>
      </c>
    </row>
    <row r="545" spans="1:8" ht="35.25" customHeight="1" x14ac:dyDescent="0.25">
      <c r="A545" s="31"/>
      <c r="B545" s="39" t="s">
        <v>35</v>
      </c>
      <c r="C545" s="40">
        <v>925</v>
      </c>
      <c r="D545" s="41" t="s">
        <v>292</v>
      </c>
      <c r="E545" s="41" t="s">
        <v>135</v>
      </c>
      <c r="F545" s="42" t="s">
        <v>493</v>
      </c>
      <c r="G545" s="41" t="s">
        <v>36</v>
      </c>
      <c r="H545" s="43">
        <f>6500+790.1+1824.5-26.4</f>
        <v>9088.2000000000007</v>
      </c>
    </row>
    <row r="546" spans="1:8" ht="22.5" customHeight="1" x14ac:dyDescent="0.25">
      <c r="A546" s="31"/>
      <c r="B546" s="39" t="s">
        <v>37</v>
      </c>
      <c r="C546" s="40">
        <v>925</v>
      </c>
      <c r="D546" s="41" t="s">
        <v>292</v>
      </c>
      <c r="E546" s="41" t="s">
        <v>135</v>
      </c>
      <c r="F546" s="42" t="s">
        <v>493</v>
      </c>
      <c r="G546" s="41" t="s">
        <v>38</v>
      </c>
      <c r="H546" s="43">
        <f>3.4</f>
        <v>3.4</v>
      </c>
    </row>
    <row r="547" spans="1:8" ht="64.900000000000006" customHeight="1" x14ac:dyDescent="0.25">
      <c r="A547" s="31"/>
      <c r="B547" s="39" t="s">
        <v>421</v>
      </c>
      <c r="C547" s="40">
        <v>925</v>
      </c>
      <c r="D547" s="41" t="s">
        <v>292</v>
      </c>
      <c r="E547" s="41" t="s">
        <v>135</v>
      </c>
      <c r="F547" s="42" t="s">
        <v>494</v>
      </c>
      <c r="G547" s="41"/>
      <c r="H547" s="43">
        <f>H548+H549</f>
        <v>31613</v>
      </c>
    </row>
    <row r="548" spans="1:8" ht="51" customHeight="1" x14ac:dyDescent="0.25">
      <c r="A548" s="31"/>
      <c r="B548" s="39" t="s">
        <v>28</v>
      </c>
      <c r="C548" s="40">
        <v>925</v>
      </c>
      <c r="D548" s="41" t="s">
        <v>292</v>
      </c>
      <c r="E548" s="41" t="s">
        <v>135</v>
      </c>
      <c r="F548" s="42" t="s">
        <v>494</v>
      </c>
      <c r="G548" s="41" t="s">
        <v>29</v>
      </c>
      <c r="H548" s="43">
        <f>1214.5+4196.6+3032.3+20634+781.6</f>
        <v>29859</v>
      </c>
    </row>
    <row r="549" spans="1:8" ht="34.5" customHeight="1" x14ac:dyDescent="0.25">
      <c r="A549" s="31"/>
      <c r="B549" s="39" t="s">
        <v>35</v>
      </c>
      <c r="C549" s="40">
        <v>925</v>
      </c>
      <c r="D549" s="41" t="s">
        <v>292</v>
      </c>
      <c r="E549" s="41" t="s">
        <v>135</v>
      </c>
      <c r="F549" s="42" t="s">
        <v>494</v>
      </c>
      <c r="G549" s="41" t="s">
        <v>36</v>
      </c>
      <c r="H549" s="43">
        <f>508.6+810.2+135+1113.1-31.3-781.6</f>
        <v>1754</v>
      </c>
    </row>
    <row r="550" spans="1:8" ht="114" customHeight="1" x14ac:dyDescent="0.25">
      <c r="A550" s="31"/>
      <c r="B550" s="39" t="s">
        <v>495</v>
      </c>
      <c r="C550" s="40">
        <v>925</v>
      </c>
      <c r="D550" s="41" t="s">
        <v>292</v>
      </c>
      <c r="E550" s="41" t="s">
        <v>135</v>
      </c>
      <c r="F550" s="42" t="s">
        <v>496</v>
      </c>
      <c r="G550" s="41"/>
      <c r="H550" s="43">
        <f>H551</f>
        <v>2239.5</v>
      </c>
    </row>
    <row r="551" spans="1:8" ht="39" customHeight="1" x14ac:dyDescent="0.25">
      <c r="A551" s="31"/>
      <c r="B551" s="39" t="s">
        <v>147</v>
      </c>
      <c r="C551" s="40">
        <v>925</v>
      </c>
      <c r="D551" s="41" t="s">
        <v>292</v>
      </c>
      <c r="E551" s="41" t="s">
        <v>135</v>
      </c>
      <c r="F551" s="42" t="s">
        <v>496</v>
      </c>
      <c r="G551" s="41" t="s">
        <v>148</v>
      </c>
      <c r="H551" s="43">
        <v>2239.5</v>
      </c>
    </row>
    <row r="552" spans="1:8" ht="28.9" customHeight="1" x14ac:dyDescent="0.25">
      <c r="A552" s="63"/>
      <c r="B552" s="44" t="s">
        <v>297</v>
      </c>
      <c r="C552" s="40">
        <v>925</v>
      </c>
      <c r="D552" s="41" t="s">
        <v>292</v>
      </c>
      <c r="E552" s="41" t="s">
        <v>135</v>
      </c>
      <c r="F552" s="42" t="s">
        <v>298</v>
      </c>
      <c r="G552" s="41"/>
      <c r="H552" s="43">
        <f>H553</f>
        <v>12340.900000000001</v>
      </c>
    </row>
    <row r="553" spans="1:8" ht="31.5" customHeight="1" x14ac:dyDescent="0.25">
      <c r="A553" s="63"/>
      <c r="B553" s="44" t="s">
        <v>355</v>
      </c>
      <c r="C553" s="40">
        <v>925</v>
      </c>
      <c r="D553" s="41" t="s">
        <v>292</v>
      </c>
      <c r="E553" s="41" t="s">
        <v>135</v>
      </c>
      <c r="F553" s="42" t="s">
        <v>300</v>
      </c>
      <c r="G553" s="41"/>
      <c r="H553" s="43">
        <f>H554+H561+H558</f>
        <v>12340.900000000001</v>
      </c>
    </row>
    <row r="554" spans="1:8" ht="28.9" customHeight="1" x14ac:dyDescent="0.25">
      <c r="A554" s="63"/>
      <c r="B554" s="39" t="s">
        <v>301</v>
      </c>
      <c r="C554" s="40">
        <v>925</v>
      </c>
      <c r="D554" s="41" t="s">
        <v>292</v>
      </c>
      <c r="E554" s="41" t="s">
        <v>135</v>
      </c>
      <c r="F554" s="42" t="s">
        <v>302</v>
      </c>
      <c r="G554" s="41"/>
      <c r="H554" s="43">
        <f>H555</f>
        <v>127.2</v>
      </c>
    </row>
    <row r="555" spans="1:8" ht="28.9" customHeight="1" x14ac:dyDescent="0.25">
      <c r="A555" s="63"/>
      <c r="B555" s="39" t="s">
        <v>303</v>
      </c>
      <c r="C555" s="40">
        <v>925</v>
      </c>
      <c r="D555" s="41" t="s">
        <v>292</v>
      </c>
      <c r="E555" s="41" t="s">
        <v>135</v>
      </c>
      <c r="F555" s="42" t="s">
        <v>304</v>
      </c>
      <c r="G555" s="41"/>
      <c r="H555" s="43">
        <f>H556+H557</f>
        <v>127.2</v>
      </c>
    </row>
    <row r="556" spans="1:8" ht="31.5" customHeight="1" x14ac:dyDescent="0.25">
      <c r="A556" s="63"/>
      <c r="B556" s="39" t="s">
        <v>35</v>
      </c>
      <c r="C556" s="40">
        <v>925</v>
      </c>
      <c r="D556" s="41" t="s">
        <v>292</v>
      </c>
      <c r="E556" s="41" t="s">
        <v>135</v>
      </c>
      <c r="F556" s="42" t="s">
        <v>304</v>
      </c>
      <c r="G556" s="41" t="s">
        <v>36</v>
      </c>
      <c r="H556" s="43">
        <f>117.2</f>
        <v>117.2</v>
      </c>
    </row>
    <row r="557" spans="1:8" ht="31.5" customHeight="1" x14ac:dyDescent="0.25">
      <c r="A557" s="63"/>
      <c r="B557" s="39" t="s">
        <v>147</v>
      </c>
      <c r="C557" s="40">
        <v>925</v>
      </c>
      <c r="D557" s="41" t="s">
        <v>292</v>
      </c>
      <c r="E557" s="41" t="s">
        <v>135</v>
      </c>
      <c r="F557" s="42" t="s">
        <v>304</v>
      </c>
      <c r="G557" s="41" t="s">
        <v>148</v>
      </c>
      <c r="H557" s="43">
        <v>10</v>
      </c>
    </row>
    <row r="558" spans="1:8" ht="28.9" customHeight="1" x14ac:dyDescent="0.25">
      <c r="A558" s="63"/>
      <c r="B558" s="39" t="s">
        <v>497</v>
      </c>
      <c r="C558" s="40">
        <v>925</v>
      </c>
      <c r="D558" s="41" t="s">
        <v>292</v>
      </c>
      <c r="E558" s="41" t="s">
        <v>135</v>
      </c>
      <c r="F558" s="42" t="s">
        <v>498</v>
      </c>
      <c r="G558" s="41"/>
      <c r="H558" s="43">
        <f>H559</f>
        <v>10</v>
      </c>
    </row>
    <row r="559" spans="1:8" ht="28.9" customHeight="1" x14ac:dyDescent="0.25">
      <c r="A559" s="63"/>
      <c r="B559" s="39" t="s">
        <v>303</v>
      </c>
      <c r="C559" s="40">
        <v>925</v>
      </c>
      <c r="D559" s="41" t="s">
        <v>292</v>
      </c>
      <c r="E559" s="41" t="s">
        <v>135</v>
      </c>
      <c r="F559" s="42" t="s">
        <v>499</v>
      </c>
      <c r="G559" s="41"/>
      <c r="H559" s="43">
        <f>H560</f>
        <v>10</v>
      </c>
    </row>
    <row r="560" spans="1:8" ht="33" customHeight="1" x14ac:dyDescent="0.25">
      <c r="A560" s="63"/>
      <c r="B560" s="39" t="s">
        <v>35</v>
      </c>
      <c r="C560" s="40">
        <v>925</v>
      </c>
      <c r="D560" s="41" t="s">
        <v>292</v>
      </c>
      <c r="E560" s="41" t="s">
        <v>135</v>
      </c>
      <c r="F560" s="42" t="s">
        <v>499</v>
      </c>
      <c r="G560" s="41" t="s">
        <v>36</v>
      </c>
      <c r="H560" s="43">
        <f>10</f>
        <v>10</v>
      </c>
    </row>
    <row r="561" spans="1:8" ht="28.9" customHeight="1" x14ac:dyDescent="0.25">
      <c r="A561" s="63"/>
      <c r="B561" s="39" t="s">
        <v>500</v>
      </c>
      <c r="C561" s="40">
        <v>925</v>
      </c>
      <c r="D561" s="41" t="s">
        <v>292</v>
      </c>
      <c r="E561" s="41" t="s">
        <v>135</v>
      </c>
      <c r="F561" s="42" t="s">
        <v>501</v>
      </c>
      <c r="G561" s="41"/>
      <c r="H561" s="43">
        <f>H565+H562</f>
        <v>12203.7</v>
      </c>
    </row>
    <row r="562" spans="1:8" ht="28.9" customHeight="1" x14ac:dyDescent="0.25">
      <c r="A562" s="63"/>
      <c r="B562" s="39" t="s">
        <v>303</v>
      </c>
      <c r="C562" s="40">
        <v>925</v>
      </c>
      <c r="D562" s="41" t="s">
        <v>292</v>
      </c>
      <c r="E562" s="41" t="s">
        <v>135</v>
      </c>
      <c r="F562" s="42" t="s">
        <v>502</v>
      </c>
      <c r="G562" s="41"/>
      <c r="H562" s="43">
        <f>H563+H564</f>
        <v>7399.1</v>
      </c>
    </row>
    <row r="563" spans="1:8" ht="33" customHeight="1" x14ac:dyDescent="0.25">
      <c r="A563" s="63"/>
      <c r="B563" s="39" t="s">
        <v>35</v>
      </c>
      <c r="C563" s="40">
        <v>925</v>
      </c>
      <c r="D563" s="41" t="s">
        <v>292</v>
      </c>
      <c r="E563" s="41" t="s">
        <v>135</v>
      </c>
      <c r="F563" s="42" t="s">
        <v>502</v>
      </c>
      <c r="G563" s="41" t="s">
        <v>36</v>
      </c>
      <c r="H563" s="43">
        <f>2135+1266.4-365</f>
        <v>3036.4</v>
      </c>
    </row>
    <row r="564" spans="1:8" ht="34.5" customHeight="1" x14ac:dyDescent="0.25">
      <c r="A564" s="63"/>
      <c r="B564" s="39" t="s">
        <v>147</v>
      </c>
      <c r="C564" s="40">
        <v>925</v>
      </c>
      <c r="D564" s="41" t="s">
        <v>292</v>
      </c>
      <c r="E564" s="41" t="s">
        <v>135</v>
      </c>
      <c r="F564" s="42" t="s">
        <v>502</v>
      </c>
      <c r="G564" s="41" t="s">
        <v>148</v>
      </c>
      <c r="H564" s="43">
        <f>3967+30.7+365</f>
        <v>4362.7</v>
      </c>
    </row>
    <row r="565" spans="1:8" ht="64.900000000000006" customHeight="1" x14ac:dyDescent="0.25">
      <c r="A565" s="63"/>
      <c r="B565" s="64" t="s">
        <v>503</v>
      </c>
      <c r="C565" s="40">
        <v>925</v>
      </c>
      <c r="D565" s="41" t="s">
        <v>292</v>
      </c>
      <c r="E565" s="41" t="s">
        <v>135</v>
      </c>
      <c r="F565" s="42" t="s">
        <v>504</v>
      </c>
      <c r="G565" s="41"/>
      <c r="H565" s="43">
        <f>H566</f>
        <v>4804.6000000000004</v>
      </c>
    </row>
    <row r="566" spans="1:8" ht="30.75" customHeight="1" x14ac:dyDescent="0.25">
      <c r="A566" s="63"/>
      <c r="B566" s="39" t="s">
        <v>147</v>
      </c>
      <c r="C566" s="40">
        <v>925</v>
      </c>
      <c r="D566" s="41" t="s">
        <v>292</v>
      </c>
      <c r="E566" s="41" t="s">
        <v>135</v>
      </c>
      <c r="F566" s="42" t="s">
        <v>504</v>
      </c>
      <c r="G566" s="41" t="s">
        <v>148</v>
      </c>
      <c r="H566" s="43">
        <f>4804.6</f>
        <v>4804.6000000000004</v>
      </c>
    </row>
    <row r="567" spans="1:8" ht="35.25" customHeight="1" x14ac:dyDescent="0.25">
      <c r="A567" s="31"/>
      <c r="B567" s="39" t="s">
        <v>161</v>
      </c>
      <c r="C567" s="40">
        <v>925</v>
      </c>
      <c r="D567" s="41" t="s">
        <v>292</v>
      </c>
      <c r="E567" s="41" t="s">
        <v>135</v>
      </c>
      <c r="F567" s="42" t="s">
        <v>162</v>
      </c>
      <c r="G567" s="41"/>
      <c r="H567" s="43">
        <f>H568+H571</f>
        <v>300</v>
      </c>
    </row>
    <row r="568" spans="1:8" ht="21" customHeight="1" x14ac:dyDescent="0.25">
      <c r="A568" s="31"/>
      <c r="B568" s="39" t="s">
        <v>505</v>
      </c>
      <c r="C568" s="40">
        <v>925</v>
      </c>
      <c r="D568" s="41" t="s">
        <v>292</v>
      </c>
      <c r="E568" s="41" t="s">
        <v>135</v>
      </c>
      <c r="F568" s="42" t="s">
        <v>506</v>
      </c>
      <c r="G568" s="41"/>
      <c r="H568" s="43">
        <f>H569</f>
        <v>300</v>
      </c>
    </row>
    <row r="569" spans="1:8" ht="19.5" customHeight="1" x14ac:dyDescent="0.25">
      <c r="A569" s="31"/>
      <c r="B569" s="39" t="s">
        <v>507</v>
      </c>
      <c r="C569" s="40">
        <v>925</v>
      </c>
      <c r="D569" s="41" t="s">
        <v>292</v>
      </c>
      <c r="E569" s="41" t="s">
        <v>135</v>
      </c>
      <c r="F569" s="42" t="s">
        <v>508</v>
      </c>
      <c r="G569" s="41"/>
      <c r="H569" s="43">
        <f>H570</f>
        <v>300</v>
      </c>
    </row>
    <row r="570" spans="1:8" ht="36" customHeight="1" x14ac:dyDescent="0.25">
      <c r="A570" s="31"/>
      <c r="B570" s="39" t="s">
        <v>147</v>
      </c>
      <c r="C570" s="40">
        <v>925</v>
      </c>
      <c r="D570" s="41" t="s">
        <v>292</v>
      </c>
      <c r="E570" s="41" t="s">
        <v>135</v>
      </c>
      <c r="F570" s="42" t="s">
        <v>508</v>
      </c>
      <c r="G570" s="41" t="s">
        <v>148</v>
      </c>
      <c r="H570" s="43">
        <f>300</f>
        <v>300</v>
      </c>
    </row>
    <row r="571" spans="1:8" ht="28.9" customHeight="1" x14ac:dyDescent="0.25">
      <c r="A571" s="31"/>
      <c r="B571" s="39" t="s">
        <v>509</v>
      </c>
      <c r="C571" s="40">
        <v>925</v>
      </c>
      <c r="D571" s="41" t="s">
        <v>292</v>
      </c>
      <c r="E571" s="41" t="s">
        <v>135</v>
      </c>
      <c r="F571" s="42" t="s">
        <v>510</v>
      </c>
      <c r="G571" s="41"/>
      <c r="H571" s="43">
        <f>H572</f>
        <v>0</v>
      </c>
    </row>
    <row r="572" spans="1:8" ht="28.9" customHeight="1" x14ac:dyDescent="0.25">
      <c r="A572" s="31"/>
      <c r="B572" s="39" t="s">
        <v>511</v>
      </c>
      <c r="C572" s="40">
        <v>925</v>
      </c>
      <c r="D572" s="41" t="s">
        <v>292</v>
      </c>
      <c r="E572" s="41" t="s">
        <v>135</v>
      </c>
      <c r="F572" s="42" t="s">
        <v>512</v>
      </c>
      <c r="G572" s="41"/>
      <c r="H572" s="43">
        <f>H573</f>
        <v>0</v>
      </c>
    </row>
    <row r="573" spans="1:8" ht="33" customHeight="1" x14ac:dyDescent="0.25">
      <c r="A573" s="31"/>
      <c r="B573" s="39" t="s">
        <v>147</v>
      </c>
      <c r="C573" s="40">
        <v>925</v>
      </c>
      <c r="D573" s="41" t="s">
        <v>292</v>
      </c>
      <c r="E573" s="41" t="s">
        <v>135</v>
      </c>
      <c r="F573" s="42" t="s">
        <v>512</v>
      </c>
      <c r="G573" s="41" t="s">
        <v>148</v>
      </c>
      <c r="H573" s="43"/>
    </row>
    <row r="574" spans="1:8" ht="28.9" customHeight="1" x14ac:dyDescent="0.25">
      <c r="A574" s="31"/>
      <c r="B574" s="39" t="s">
        <v>320</v>
      </c>
      <c r="C574" s="40">
        <v>925</v>
      </c>
      <c r="D574" s="41" t="s">
        <v>143</v>
      </c>
      <c r="E574" s="41" t="s">
        <v>19</v>
      </c>
      <c r="F574" s="42"/>
      <c r="G574" s="41"/>
      <c r="H574" s="43">
        <f>H575+H583</f>
        <v>13453.8</v>
      </c>
    </row>
    <row r="575" spans="1:8" ht="28.9" customHeight="1" x14ac:dyDescent="0.25">
      <c r="A575" s="31"/>
      <c r="B575" s="39" t="s">
        <v>326</v>
      </c>
      <c r="C575" s="40">
        <v>925</v>
      </c>
      <c r="D575" s="41" t="s">
        <v>143</v>
      </c>
      <c r="E575" s="41" t="s">
        <v>21</v>
      </c>
      <c r="F575" s="42"/>
      <c r="G575" s="41"/>
      <c r="H575" s="43">
        <f>H576</f>
        <v>577.5</v>
      </c>
    </row>
    <row r="576" spans="1:8" ht="28.9" customHeight="1" x14ac:dyDescent="0.25">
      <c r="A576" s="31"/>
      <c r="B576" s="39" t="s">
        <v>408</v>
      </c>
      <c r="C576" s="40">
        <v>925</v>
      </c>
      <c r="D576" s="41" t="s">
        <v>143</v>
      </c>
      <c r="E576" s="41" t="s">
        <v>21</v>
      </c>
      <c r="F576" s="42" t="s">
        <v>409</v>
      </c>
      <c r="G576" s="41"/>
      <c r="H576" s="43">
        <f>H577</f>
        <v>577.5</v>
      </c>
    </row>
    <row r="577" spans="1:8" ht="28.9" customHeight="1" x14ac:dyDescent="0.25">
      <c r="A577" s="31"/>
      <c r="B577" s="39" t="s">
        <v>442</v>
      </c>
      <c r="C577" s="40">
        <v>925</v>
      </c>
      <c r="D577" s="41" t="s">
        <v>143</v>
      </c>
      <c r="E577" s="41" t="s">
        <v>21</v>
      </c>
      <c r="F577" s="42" t="s">
        <v>411</v>
      </c>
      <c r="G577" s="41"/>
      <c r="H577" s="43">
        <f>H578</f>
        <v>577.5</v>
      </c>
    </row>
    <row r="578" spans="1:8" ht="28.9" customHeight="1" x14ac:dyDescent="0.25">
      <c r="A578" s="31"/>
      <c r="B578" s="39" t="s">
        <v>487</v>
      </c>
      <c r="C578" s="40">
        <v>925</v>
      </c>
      <c r="D578" s="41" t="s">
        <v>143</v>
      </c>
      <c r="E578" s="41" t="s">
        <v>21</v>
      </c>
      <c r="F578" s="42" t="s">
        <v>488</v>
      </c>
      <c r="G578" s="41"/>
      <c r="H578" s="43">
        <f>H579+H581</f>
        <v>577.5</v>
      </c>
    </row>
    <row r="579" spans="1:8" ht="33.75" customHeight="1" x14ac:dyDescent="0.25">
      <c r="A579" s="31"/>
      <c r="B579" s="39" t="s">
        <v>513</v>
      </c>
      <c r="C579" s="40">
        <v>925</v>
      </c>
      <c r="D579" s="41" t="s">
        <v>143</v>
      </c>
      <c r="E579" s="41" t="s">
        <v>21</v>
      </c>
      <c r="F579" s="42" t="s">
        <v>514</v>
      </c>
      <c r="G579" s="41"/>
      <c r="H579" s="43">
        <f>H580</f>
        <v>480</v>
      </c>
    </row>
    <row r="580" spans="1:8" ht="28.9" customHeight="1" x14ac:dyDescent="0.25">
      <c r="A580" s="31"/>
      <c r="B580" s="39" t="s">
        <v>30</v>
      </c>
      <c r="C580" s="40">
        <v>925</v>
      </c>
      <c r="D580" s="41" t="s">
        <v>143</v>
      </c>
      <c r="E580" s="41" t="s">
        <v>21</v>
      </c>
      <c r="F580" s="42" t="s">
        <v>514</v>
      </c>
      <c r="G580" s="41" t="s">
        <v>31</v>
      </c>
      <c r="H580" s="43">
        <f>480</f>
        <v>480</v>
      </c>
    </row>
    <row r="581" spans="1:8" ht="30.75" customHeight="1" x14ac:dyDescent="0.25">
      <c r="A581" s="31"/>
      <c r="B581" s="39" t="s">
        <v>515</v>
      </c>
      <c r="C581" s="40">
        <v>925</v>
      </c>
      <c r="D581" s="41" t="s">
        <v>143</v>
      </c>
      <c r="E581" s="41" t="s">
        <v>21</v>
      </c>
      <c r="F581" s="42" t="s">
        <v>516</v>
      </c>
      <c r="G581" s="41"/>
      <c r="H581" s="43">
        <f>H582</f>
        <v>97.5</v>
      </c>
    </row>
    <row r="582" spans="1:8" ht="28.9" customHeight="1" x14ac:dyDescent="0.25">
      <c r="A582" s="31"/>
      <c r="B582" s="39" t="s">
        <v>30</v>
      </c>
      <c r="C582" s="40">
        <v>925</v>
      </c>
      <c r="D582" s="41" t="s">
        <v>143</v>
      </c>
      <c r="E582" s="41" t="s">
        <v>21</v>
      </c>
      <c r="F582" s="42" t="s">
        <v>516</v>
      </c>
      <c r="G582" s="41" t="s">
        <v>31</v>
      </c>
      <c r="H582" s="43">
        <v>97.5</v>
      </c>
    </row>
    <row r="583" spans="1:8" ht="28.9" customHeight="1" x14ac:dyDescent="0.25">
      <c r="A583" s="31"/>
      <c r="B583" s="39" t="s">
        <v>342</v>
      </c>
      <c r="C583" s="40">
        <v>925</v>
      </c>
      <c r="D583" s="41" t="s">
        <v>143</v>
      </c>
      <c r="E583" s="41" t="s">
        <v>48</v>
      </c>
      <c r="F583" s="42"/>
      <c r="G583" s="41"/>
      <c r="H583" s="43">
        <f>H584</f>
        <v>12876.3</v>
      </c>
    </row>
    <row r="584" spans="1:8" ht="28.9" customHeight="1" x14ac:dyDescent="0.25">
      <c r="A584" s="31"/>
      <c r="B584" s="39" t="s">
        <v>408</v>
      </c>
      <c r="C584" s="40">
        <v>925</v>
      </c>
      <c r="D584" s="41" t="s">
        <v>143</v>
      </c>
      <c r="E584" s="41" t="s">
        <v>48</v>
      </c>
      <c r="F584" s="42" t="s">
        <v>409</v>
      </c>
      <c r="G584" s="41"/>
      <c r="H584" s="43">
        <f>H585</f>
        <v>12876.3</v>
      </c>
    </row>
    <row r="585" spans="1:8" ht="28.9" customHeight="1" x14ac:dyDescent="0.25">
      <c r="A585" s="31"/>
      <c r="B585" s="39" t="s">
        <v>442</v>
      </c>
      <c r="C585" s="40">
        <v>925</v>
      </c>
      <c r="D585" s="41" t="s">
        <v>143</v>
      </c>
      <c r="E585" s="41" t="s">
        <v>48</v>
      </c>
      <c r="F585" s="42" t="s">
        <v>411</v>
      </c>
      <c r="G585" s="41"/>
      <c r="H585" s="43">
        <f>H586</f>
        <v>12876.3</v>
      </c>
    </row>
    <row r="586" spans="1:8" ht="28.9" customHeight="1" x14ac:dyDescent="0.25">
      <c r="A586" s="31"/>
      <c r="B586" s="39" t="s">
        <v>487</v>
      </c>
      <c r="C586" s="40">
        <v>925</v>
      </c>
      <c r="D586" s="41" t="s">
        <v>143</v>
      </c>
      <c r="E586" s="41" t="s">
        <v>48</v>
      </c>
      <c r="F586" s="42" t="s">
        <v>488</v>
      </c>
      <c r="G586" s="41"/>
      <c r="H586" s="43">
        <f>H587</f>
        <v>12876.3</v>
      </c>
    </row>
    <row r="587" spans="1:8" ht="67.5" customHeight="1" x14ac:dyDescent="0.25">
      <c r="A587" s="31"/>
      <c r="B587" s="39" t="s">
        <v>517</v>
      </c>
      <c r="C587" s="40">
        <v>925</v>
      </c>
      <c r="D587" s="41" t="s">
        <v>143</v>
      </c>
      <c r="E587" s="41" t="s">
        <v>48</v>
      </c>
      <c r="F587" s="42" t="s">
        <v>518</v>
      </c>
      <c r="G587" s="41"/>
      <c r="H587" s="43">
        <f>H589+H588</f>
        <v>12876.3</v>
      </c>
    </row>
    <row r="588" spans="1:8" ht="33" customHeight="1" x14ac:dyDescent="0.25">
      <c r="A588" s="31"/>
      <c r="B588" s="39" t="s">
        <v>35</v>
      </c>
      <c r="C588" s="40">
        <v>925</v>
      </c>
      <c r="D588" s="41" t="s">
        <v>143</v>
      </c>
      <c r="E588" s="41" t="s">
        <v>48</v>
      </c>
      <c r="F588" s="42" t="s">
        <v>518</v>
      </c>
      <c r="G588" s="41" t="s">
        <v>36</v>
      </c>
      <c r="H588" s="43">
        <v>190.3</v>
      </c>
    </row>
    <row r="589" spans="1:8" ht="28.9" customHeight="1" x14ac:dyDescent="0.25">
      <c r="A589" s="31"/>
      <c r="B589" s="39" t="s">
        <v>30</v>
      </c>
      <c r="C589" s="40">
        <v>925</v>
      </c>
      <c r="D589" s="41" t="s">
        <v>143</v>
      </c>
      <c r="E589" s="41" t="s">
        <v>48</v>
      </c>
      <c r="F589" s="42" t="s">
        <v>518</v>
      </c>
      <c r="G589" s="41" t="s">
        <v>31</v>
      </c>
      <c r="H589" s="43">
        <v>12686</v>
      </c>
    </row>
    <row r="590" spans="1:8" ht="28.9" customHeight="1" x14ac:dyDescent="0.25">
      <c r="A590" s="31"/>
      <c r="B590" s="39" t="s">
        <v>519</v>
      </c>
      <c r="C590" s="40">
        <v>925</v>
      </c>
      <c r="D590" s="41" t="s">
        <v>360</v>
      </c>
      <c r="E590" s="41" t="s">
        <v>19</v>
      </c>
      <c r="F590" s="42"/>
      <c r="G590" s="41"/>
      <c r="H590" s="43">
        <f>H600+H591</f>
        <v>43185.1</v>
      </c>
    </row>
    <row r="591" spans="1:8" ht="28.9" customHeight="1" x14ac:dyDescent="0.25">
      <c r="A591" s="31"/>
      <c r="B591" s="39" t="s">
        <v>361</v>
      </c>
      <c r="C591" s="40">
        <v>925</v>
      </c>
      <c r="D591" s="41" t="s">
        <v>360</v>
      </c>
      <c r="E591" s="41" t="s">
        <v>18</v>
      </c>
      <c r="F591" s="42"/>
      <c r="G591" s="41"/>
      <c r="H591" s="43">
        <f>H592</f>
        <v>20987.9</v>
      </c>
    </row>
    <row r="592" spans="1:8" ht="28.9" customHeight="1" x14ac:dyDescent="0.25">
      <c r="A592" s="31"/>
      <c r="B592" s="39" t="s">
        <v>408</v>
      </c>
      <c r="C592" s="40">
        <v>925</v>
      </c>
      <c r="D592" s="41" t="s">
        <v>360</v>
      </c>
      <c r="E592" s="41" t="s">
        <v>18</v>
      </c>
      <c r="F592" s="42" t="s">
        <v>409</v>
      </c>
      <c r="G592" s="41"/>
      <c r="H592" s="43">
        <f>H593</f>
        <v>20987.9</v>
      </c>
    </row>
    <row r="593" spans="1:8" ht="28.9" customHeight="1" x14ac:dyDescent="0.25">
      <c r="A593" s="31"/>
      <c r="B593" s="39" t="s">
        <v>442</v>
      </c>
      <c r="C593" s="40">
        <v>925</v>
      </c>
      <c r="D593" s="41" t="s">
        <v>360</v>
      </c>
      <c r="E593" s="41" t="s">
        <v>18</v>
      </c>
      <c r="F593" s="42" t="s">
        <v>411</v>
      </c>
      <c r="G593" s="41"/>
      <c r="H593" s="43">
        <f>H594+H597</f>
        <v>20987.9</v>
      </c>
    </row>
    <row r="594" spans="1:8" ht="33" customHeight="1" x14ac:dyDescent="0.25">
      <c r="A594" s="31"/>
      <c r="B594" s="39" t="s">
        <v>471</v>
      </c>
      <c r="C594" s="40">
        <v>925</v>
      </c>
      <c r="D594" s="41" t="s">
        <v>360</v>
      </c>
      <c r="E594" s="41" t="s">
        <v>18</v>
      </c>
      <c r="F594" s="42" t="s">
        <v>472</v>
      </c>
      <c r="G594" s="41"/>
      <c r="H594" s="43">
        <f>H595</f>
        <v>19079.900000000001</v>
      </c>
    </row>
    <row r="595" spans="1:8" ht="33.75" customHeight="1" x14ac:dyDescent="0.25">
      <c r="A595" s="31"/>
      <c r="B595" s="39" t="s">
        <v>103</v>
      </c>
      <c r="C595" s="40">
        <v>925</v>
      </c>
      <c r="D595" s="41" t="s">
        <v>360</v>
      </c>
      <c r="E595" s="41" t="s">
        <v>18</v>
      </c>
      <c r="F595" s="42" t="s">
        <v>473</v>
      </c>
      <c r="G595" s="41"/>
      <c r="H595" s="43">
        <f>H596</f>
        <v>19079.900000000001</v>
      </c>
    </row>
    <row r="596" spans="1:8" ht="31.5" customHeight="1" x14ac:dyDescent="0.25">
      <c r="A596" s="31"/>
      <c r="B596" s="39" t="s">
        <v>147</v>
      </c>
      <c r="C596" s="40">
        <v>925</v>
      </c>
      <c r="D596" s="41" t="s">
        <v>360</v>
      </c>
      <c r="E596" s="41" t="s">
        <v>18</v>
      </c>
      <c r="F596" s="42" t="s">
        <v>473</v>
      </c>
      <c r="G596" s="41" t="s">
        <v>148</v>
      </c>
      <c r="H596" s="43">
        <f>29228.4-10148.5</f>
        <v>19079.900000000001</v>
      </c>
    </row>
    <row r="597" spans="1:8" ht="36.75" customHeight="1" x14ac:dyDescent="0.25">
      <c r="A597" s="31"/>
      <c r="B597" s="39" t="s">
        <v>520</v>
      </c>
      <c r="C597" s="40">
        <v>925</v>
      </c>
      <c r="D597" s="41" t="s">
        <v>360</v>
      </c>
      <c r="E597" s="41" t="s">
        <v>18</v>
      </c>
      <c r="F597" s="42" t="s">
        <v>477</v>
      </c>
      <c r="G597" s="41"/>
      <c r="H597" s="43">
        <f>H598</f>
        <v>1907.9999999999998</v>
      </c>
    </row>
    <row r="598" spans="1:8" ht="30.75" customHeight="1" x14ac:dyDescent="0.25">
      <c r="A598" s="31"/>
      <c r="B598" s="39" t="s">
        <v>103</v>
      </c>
      <c r="C598" s="40">
        <v>925</v>
      </c>
      <c r="D598" s="41" t="s">
        <v>360</v>
      </c>
      <c r="E598" s="41" t="s">
        <v>18</v>
      </c>
      <c r="F598" s="42" t="s">
        <v>478</v>
      </c>
      <c r="G598" s="41"/>
      <c r="H598" s="43">
        <f>H599</f>
        <v>1907.9999999999998</v>
      </c>
    </row>
    <row r="599" spans="1:8" ht="40.5" customHeight="1" x14ac:dyDescent="0.25">
      <c r="A599" s="31"/>
      <c r="B599" s="39" t="s">
        <v>147</v>
      </c>
      <c r="C599" s="40">
        <v>925</v>
      </c>
      <c r="D599" s="41" t="s">
        <v>360</v>
      </c>
      <c r="E599" s="41" t="s">
        <v>18</v>
      </c>
      <c r="F599" s="42" t="s">
        <v>478</v>
      </c>
      <c r="G599" s="41" t="s">
        <v>148</v>
      </c>
      <c r="H599" s="43">
        <f>3298.2-36.5-1353.7</f>
        <v>1907.9999999999998</v>
      </c>
    </row>
    <row r="600" spans="1:8" ht="28.9" customHeight="1" x14ac:dyDescent="0.25">
      <c r="A600" s="31"/>
      <c r="B600" s="39" t="s">
        <v>521</v>
      </c>
      <c r="C600" s="40">
        <v>925</v>
      </c>
      <c r="D600" s="41" t="s">
        <v>360</v>
      </c>
      <c r="E600" s="41" t="s">
        <v>21</v>
      </c>
      <c r="F600" s="42"/>
      <c r="G600" s="41"/>
      <c r="H600" s="43">
        <f>H601</f>
        <v>22197.199999999997</v>
      </c>
    </row>
    <row r="601" spans="1:8" ht="28.9" customHeight="1" x14ac:dyDescent="0.25">
      <c r="A601" s="31"/>
      <c r="B601" s="39" t="s">
        <v>408</v>
      </c>
      <c r="C601" s="40">
        <v>925</v>
      </c>
      <c r="D601" s="41" t="s">
        <v>360</v>
      </c>
      <c r="E601" s="41" t="s">
        <v>21</v>
      </c>
      <c r="F601" s="42" t="s">
        <v>409</v>
      </c>
      <c r="G601" s="41"/>
      <c r="H601" s="43">
        <f>H602</f>
        <v>22197.199999999997</v>
      </c>
    </row>
    <row r="602" spans="1:8" ht="28.9" customHeight="1" x14ac:dyDescent="0.25">
      <c r="A602" s="31"/>
      <c r="B602" s="39" t="s">
        <v>442</v>
      </c>
      <c r="C602" s="40">
        <v>925</v>
      </c>
      <c r="D602" s="41" t="s">
        <v>360</v>
      </c>
      <c r="E602" s="41" t="s">
        <v>21</v>
      </c>
      <c r="F602" s="42" t="s">
        <v>411</v>
      </c>
      <c r="G602" s="41"/>
      <c r="H602" s="43">
        <f>H603</f>
        <v>22197.199999999997</v>
      </c>
    </row>
    <row r="603" spans="1:8" ht="30.75" customHeight="1" x14ac:dyDescent="0.25">
      <c r="A603" s="31"/>
      <c r="B603" s="39" t="s">
        <v>471</v>
      </c>
      <c r="C603" s="40">
        <v>925</v>
      </c>
      <c r="D603" s="41" t="s">
        <v>360</v>
      </c>
      <c r="E603" s="41" t="s">
        <v>21</v>
      </c>
      <c r="F603" s="42" t="s">
        <v>472</v>
      </c>
      <c r="G603" s="41"/>
      <c r="H603" s="43">
        <f>H604+H608+H610+H612+H606</f>
        <v>22197.199999999997</v>
      </c>
    </row>
    <row r="604" spans="1:8" ht="33.75" customHeight="1" x14ac:dyDescent="0.25">
      <c r="A604" s="31"/>
      <c r="B604" s="39" t="s">
        <v>103</v>
      </c>
      <c r="C604" s="40">
        <v>925</v>
      </c>
      <c r="D604" s="41" t="s">
        <v>360</v>
      </c>
      <c r="E604" s="41" t="s">
        <v>21</v>
      </c>
      <c r="F604" s="42" t="s">
        <v>473</v>
      </c>
      <c r="G604" s="41"/>
      <c r="H604" s="43">
        <f>H605</f>
        <v>17171.8</v>
      </c>
    </row>
    <row r="605" spans="1:8" ht="33.75" customHeight="1" x14ac:dyDescent="0.25">
      <c r="A605" s="31"/>
      <c r="B605" s="39" t="s">
        <v>147</v>
      </c>
      <c r="C605" s="40">
        <v>925</v>
      </c>
      <c r="D605" s="41" t="s">
        <v>360</v>
      </c>
      <c r="E605" s="41" t="s">
        <v>21</v>
      </c>
      <c r="F605" s="42" t="s">
        <v>473</v>
      </c>
      <c r="G605" s="41" t="s">
        <v>148</v>
      </c>
      <c r="H605" s="43">
        <f>34857-29187.4+11502.2</f>
        <v>17171.8</v>
      </c>
    </row>
    <row r="606" spans="1:8" ht="28.9" customHeight="1" x14ac:dyDescent="0.25">
      <c r="A606" s="31"/>
      <c r="B606" s="39" t="s">
        <v>111</v>
      </c>
      <c r="C606" s="40">
        <v>925</v>
      </c>
      <c r="D606" s="41" t="s">
        <v>360</v>
      </c>
      <c r="E606" s="41" t="s">
        <v>21</v>
      </c>
      <c r="F606" s="42" t="s">
        <v>522</v>
      </c>
      <c r="G606" s="41"/>
      <c r="H606" s="43">
        <f>H607</f>
        <v>2481.7999999999997</v>
      </c>
    </row>
    <row r="607" spans="1:8" ht="33.75" customHeight="1" x14ac:dyDescent="0.25">
      <c r="A607" s="31"/>
      <c r="B607" s="39" t="s">
        <v>147</v>
      </c>
      <c r="C607" s="40">
        <v>925</v>
      </c>
      <c r="D607" s="41" t="s">
        <v>360</v>
      </c>
      <c r="E607" s="41" t="s">
        <v>21</v>
      </c>
      <c r="F607" s="42" t="s">
        <v>522</v>
      </c>
      <c r="G607" s="41" t="s">
        <v>148</v>
      </c>
      <c r="H607" s="43">
        <f>4596.2-2114.4</f>
        <v>2481.7999999999997</v>
      </c>
    </row>
    <row r="608" spans="1:8" ht="28.9" customHeight="1" x14ac:dyDescent="0.25">
      <c r="A608" s="31"/>
      <c r="B608" s="39" t="s">
        <v>417</v>
      </c>
      <c r="C608" s="40">
        <v>925</v>
      </c>
      <c r="D608" s="41" t="s">
        <v>360</v>
      </c>
      <c r="E608" s="41" t="s">
        <v>21</v>
      </c>
      <c r="F608" s="42" t="s">
        <v>474</v>
      </c>
      <c r="G608" s="41"/>
      <c r="H608" s="43">
        <f>H609</f>
        <v>421.6</v>
      </c>
    </row>
    <row r="609" spans="1:8" ht="36.75" customHeight="1" x14ac:dyDescent="0.25">
      <c r="A609" s="31"/>
      <c r="B609" s="39" t="s">
        <v>147</v>
      </c>
      <c r="C609" s="40">
        <v>925</v>
      </c>
      <c r="D609" s="41" t="s">
        <v>360</v>
      </c>
      <c r="E609" s="41" t="s">
        <v>21</v>
      </c>
      <c r="F609" s="42" t="s">
        <v>474</v>
      </c>
      <c r="G609" s="41" t="s">
        <v>148</v>
      </c>
      <c r="H609" s="43">
        <f>165+256.6</f>
        <v>421.6</v>
      </c>
    </row>
    <row r="610" spans="1:8" ht="35.25" customHeight="1" x14ac:dyDescent="0.25">
      <c r="A610" s="31"/>
      <c r="B610" s="39" t="s">
        <v>523</v>
      </c>
      <c r="C610" s="40">
        <v>925</v>
      </c>
      <c r="D610" s="41" t="s">
        <v>360</v>
      </c>
      <c r="E610" s="41" t="s">
        <v>21</v>
      </c>
      <c r="F610" s="42" t="s">
        <v>524</v>
      </c>
      <c r="G610" s="41"/>
      <c r="H610" s="43">
        <f>H611</f>
        <v>2019</v>
      </c>
    </row>
    <row r="611" spans="1:8" ht="33" customHeight="1" x14ac:dyDescent="0.25">
      <c r="A611" s="31"/>
      <c r="B611" s="39" t="s">
        <v>147</v>
      </c>
      <c r="C611" s="40">
        <v>925</v>
      </c>
      <c r="D611" s="41" t="s">
        <v>360</v>
      </c>
      <c r="E611" s="41" t="s">
        <v>21</v>
      </c>
      <c r="F611" s="42" t="s">
        <v>524</v>
      </c>
      <c r="G611" s="41" t="s">
        <v>148</v>
      </c>
      <c r="H611" s="43">
        <f>2019</f>
        <v>2019</v>
      </c>
    </row>
    <row r="612" spans="1:8" ht="96.75" customHeight="1" x14ac:dyDescent="0.25">
      <c r="A612" s="31"/>
      <c r="B612" s="39" t="s">
        <v>419</v>
      </c>
      <c r="C612" s="40">
        <v>925</v>
      </c>
      <c r="D612" s="41" t="s">
        <v>360</v>
      </c>
      <c r="E612" s="41" t="s">
        <v>21</v>
      </c>
      <c r="F612" s="42" t="s">
        <v>475</v>
      </c>
      <c r="G612" s="41"/>
      <c r="H612" s="43">
        <f>H613</f>
        <v>103</v>
      </c>
    </row>
    <row r="613" spans="1:8" ht="37.5" customHeight="1" x14ac:dyDescent="0.25">
      <c r="A613" s="31"/>
      <c r="B613" s="39" t="s">
        <v>147</v>
      </c>
      <c r="C613" s="40">
        <v>925</v>
      </c>
      <c r="D613" s="41" t="s">
        <v>360</v>
      </c>
      <c r="E613" s="41" t="s">
        <v>21</v>
      </c>
      <c r="F613" s="42" t="s">
        <v>475</v>
      </c>
      <c r="G613" s="41" t="s">
        <v>148</v>
      </c>
      <c r="H613" s="43">
        <f>270-156-11</f>
        <v>103</v>
      </c>
    </row>
    <row r="614" spans="1:8" ht="35.25" customHeight="1" x14ac:dyDescent="0.25">
      <c r="A614" s="31">
        <v>6</v>
      </c>
      <c r="B614" s="32" t="s">
        <v>525</v>
      </c>
      <c r="C614" s="33">
        <v>926</v>
      </c>
      <c r="D614" s="34"/>
      <c r="E614" s="34"/>
      <c r="F614" s="42"/>
      <c r="G614" s="34"/>
      <c r="H614" s="36">
        <f>H615+H637</f>
        <v>384955.9</v>
      </c>
    </row>
    <row r="615" spans="1:8" ht="28.9" customHeight="1" x14ac:dyDescent="0.25">
      <c r="A615" s="31"/>
      <c r="B615" s="39" t="s">
        <v>291</v>
      </c>
      <c r="C615" s="40">
        <v>926</v>
      </c>
      <c r="D615" s="41" t="s">
        <v>292</v>
      </c>
      <c r="E615" s="41" t="s">
        <v>19</v>
      </c>
      <c r="F615" s="65"/>
      <c r="G615" s="41"/>
      <c r="H615" s="43">
        <f>H616+H628</f>
        <v>189650.6</v>
      </c>
    </row>
    <row r="616" spans="1:8" ht="28.9" customHeight="1" x14ac:dyDescent="0.25">
      <c r="A616" s="31"/>
      <c r="B616" s="66" t="s">
        <v>470</v>
      </c>
      <c r="C616" s="40">
        <v>926</v>
      </c>
      <c r="D616" s="41" t="s">
        <v>292</v>
      </c>
      <c r="E616" s="41" t="s">
        <v>21</v>
      </c>
      <c r="F616" s="67"/>
      <c r="G616" s="41"/>
      <c r="H616" s="43">
        <f>H617</f>
        <v>187810.6</v>
      </c>
    </row>
    <row r="617" spans="1:8" ht="28.9" customHeight="1" x14ac:dyDescent="0.25">
      <c r="A617" s="31"/>
      <c r="B617" s="39" t="s">
        <v>526</v>
      </c>
      <c r="C617" s="40">
        <v>926</v>
      </c>
      <c r="D617" s="41" t="s">
        <v>292</v>
      </c>
      <c r="E617" s="41" t="s">
        <v>21</v>
      </c>
      <c r="F617" s="42" t="s">
        <v>527</v>
      </c>
      <c r="G617" s="41"/>
      <c r="H617" s="43">
        <f>H618</f>
        <v>187810.6</v>
      </c>
    </row>
    <row r="618" spans="1:8" ht="28.9" customHeight="1" x14ac:dyDescent="0.25">
      <c r="A618" s="31"/>
      <c r="B618" s="39" t="s">
        <v>528</v>
      </c>
      <c r="C618" s="40">
        <v>926</v>
      </c>
      <c r="D618" s="41" t="s">
        <v>292</v>
      </c>
      <c r="E618" s="41" t="s">
        <v>21</v>
      </c>
      <c r="F618" s="42" t="s">
        <v>529</v>
      </c>
      <c r="G618" s="41"/>
      <c r="H618" s="43">
        <f>H619</f>
        <v>187810.6</v>
      </c>
    </row>
    <row r="619" spans="1:8" ht="28.9" customHeight="1" x14ac:dyDescent="0.25">
      <c r="A619" s="31"/>
      <c r="B619" s="39" t="s">
        <v>530</v>
      </c>
      <c r="C619" s="40">
        <v>926</v>
      </c>
      <c r="D619" s="41" t="s">
        <v>292</v>
      </c>
      <c r="E619" s="41" t="s">
        <v>21</v>
      </c>
      <c r="F619" s="42" t="s">
        <v>531</v>
      </c>
      <c r="G619" s="41"/>
      <c r="H619" s="43">
        <f>H620+H624+H622+H626</f>
        <v>187810.6</v>
      </c>
    </row>
    <row r="620" spans="1:8" ht="33" customHeight="1" x14ac:dyDescent="0.25">
      <c r="A620" s="31"/>
      <c r="B620" s="39" t="s">
        <v>103</v>
      </c>
      <c r="C620" s="40">
        <v>926</v>
      </c>
      <c r="D620" s="41" t="s">
        <v>292</v>
      </c>
      <c r="E620" s="41" t="s">
        <v>21</v>
      </c>
      <c r="F620" s="42" t="s">
        <v>532</v>
      </c>
      <c r="G620" s="41"/>
      <c r="H620" s="43">
        <f>H621</f>
        <v>171557.5</v>
      </c>
    </row>
    <row r="621" spans="1:8" ht="32.25" customHeight="1" x14ac:dyDescent="0.25">
      <c r="A621" s="31"/>
      <c r="B621" s="39" t="s">
        <v>147</v>
      </c>
      <c r="C621" s="40">
        <v>926</v>
      </c>
      <c r="D621" s="41" t="s">
        <v>292</v>
      </c>
      <c r="E621" s="41" t="s">
        <v>21</v>
      </c>
      <c r="F621" s="42" t="s">
        <v>532</v>
      </c>
      <c r="G621" s="41" t="s">
        <v>148</v>
      </c>
      <c r="H621" s="43">
        <f>158203.9+2510.8+105.7+9795.7+941.4</f>
        <v>171557.5</v>
      </c>
    </row>
    <row r="622" spans="1:8" ht="28.9" customHeight="1" x14ac:dyDescent="0.25">
      <c r="A622" s="31"/>
      <c r="B622" s="39" t="s">
        <v>417</v>
      </c>
      <c r="C622" s="40">
        <v>926</v>
      </c>
      <c r="D622" s="41" t="s">
        <v>292</v>
      </c>
      <c r="E622" s="41" t="s">
        <v>21</v>
      </c>
      <c r="F622" s="42" t="s">
        <v>533</v>
      </c>
      <c r="G622" s="41"/>
      <c r="H622" s="43">
        <f>H623</f>
        <v>13812.5</v>
      </c>
    </row>
    <row r="623" spans="1:8" ht="35.25" customHeight="1" x14ac:dyDescent="0.25">
      <c r="A623" s="31"/>
      <c r="B623" s="39" t="s">
        <v>147</v>
      </c>
      <c r="C623" s="40">
        <v>926</v>
      </c>
      <c r="D623" s="41" t="s">
        <v>292</v>
      </c>
      <c r="E623" s="41" t="s">
        <v>21</v>
      </c>
      <c r="F623" s="42" t="s">
        <v>533</v>
      </c>
      <c r="G623" s="41" t="s">
        <v>148</v>
      </c>
      <c r="H623" s="43">
        <f>9705.3+2140.1+1897.1+70</f>
        <v>13812.5</v>
      </c>
    </row>
    <row r="624" spans="1:8" ht="97.5" customHeight="1" x14ac:dyDescent="0.25">
      <c r="A624" s="31"/>
      <c r="B624" s="39" t="s">
        <v>419</v>
      </c>
      <c r="C624" s="40">
        <v>926</v>
      </c>
      <c r="D624" s="41" t="s">
        <v>292</v>
      </c>
      <c r="E624" s="41" t="s">
        <v>21</v>
      </c>
      <c r="F624" s="42" t="s">
        <v>534</v>
      </c>
      <c r="G624" s="41"/>
      <c r="H624" s="43">
        <f>H625</f>
        <v>950.6</v>
      </c>
    </row>
    <row r="625" spans="1:8" ht="33.75" customHeight="1" x14ac:dyDescent="0.25">
      <c r="A625" s="31"/>
      <c r="B625" s="39" t="s">
        <v>147</v>
      </c>
      <c r="C625" s="40">
        <v>926</v>
      </c>
      <c r="D625" s="41" t="s">
        <v>292</v>
      </c>
      <c r="E625" s="41" t="s">
        <v>21</v>
      </c>
      <c r="F625" s="42" t="s">
        <v>534</v>
      </c>
      <c r="G625" s="41" t="s">
        <v>148</v>
      </c>
      <c r="H625" s="43">
        <v>950.6</v>
      </c>
    </row>
    <row r="626" spans="1:8" ht="34.5" customHeight="1" x14ac:dyDescent="0.25">
      <c r="A626" s="31"/>
      <c r="B626" s="39" t="s">
        <v>423</v>
      </c>
      <c r="C626" s="40">
        <v>926</v>
      </c>
      <c r="D626" s="41" t="s">
        <v>292</v>
      </c>
      <c r="E626" s="41" t="s">
        <v>21</v>
      </c>
      <c r="F626" s="42" t="s">
        <v>535</v>
      </c>
      <c r="G626" s="41"/>
      <c r="H626" s="43">
        <f>H627</f>
        <v>1490</v>
      </c>
    </row>
    <row r="627" spans="1:8" ht="33.75" customHeight="1" x14ac:dyDescent="0.25">
      <c r="A627" s="31"/>
      <c r="B627" s="39" t="s">
        <v>147</v>
      </c>
      <c r="C627" s="40">
        <v>926</v>
      </c>
      <c r="D627" s="41" t="s">
        <v>292</v>
      </c>
      <c r="E627" s="41" t="s">
        <v>21</v>
      </c>
      <c r="F627" s="42" t="s">
        <v>535</v>
      </c>
      <c r="G627" s="41" t="s">
        <v>148</v>
      </c>
      <c r="H627" s="43">
        <v>1490</v>
      </c>
    </row>
    <row r="628" spans="1:8" ht="28.9" customHeight="1" x14ac:dyDescent="0.25">
      <c r="A628" s="31"/>
      <c r="B628" s="39" t="s">
        <v>296</v>
      </c>
      <c r="C628" s="40">
        <v>926</v>
      </c>
      <c r="D628" s="41" t="s">
        <v>292</v>
      </c>
      <c r="E628" s="41" t="s">
        <v>135</v>
      </c>
      <c r="F628" s="42"/>
      <c r="G628" s="41"/>
      <c r="H628" s="43">
        <f>H629</f>
        <v>1840</v>
      </c>
    </row>
    <row r="629" spans="1:8" ht="28.9" customHeight="1" x14ac:dyDescent="0.25">
      <c r="A629" s="31"/>
      <c r="B629" s="44" t="s">
        <v>297</v>
      </c>
      <c r="C629" s="40">
        <v>926</v>
      </c>
      <c r="D629" s="41" t="s">
        <v>292</v>
      </c>
      <c r="E629" s="41" t="s">
        <v>135</v>
      </c>
      <c r="F629" s="42" t="s">
        <v>298</v>
      </c>
      <c r="G629" s="41"/>
      <c r="H629" s="43">
        <f>H630</f>
        <v>1840</v>
      </c>
    </row>
    <row r="630" spans="1:8" ht="34.5" customHeight="1" x14ac:dyDescent="0.25">
      <c r="A630" s="31"/>
      <c r="B630" s="44" t="s">
        <v>355</v>
      </c>
      <c r="C630" s="40">
        <v>926</v>
      </c>
      <c r="D630" s="41" t="s">
        <v>292</v>
      </c>
      <c r="E630" s="41" t="s">
        <v>135</v>
      </c>
      <c r="F630" s="42" t="s">
        <v>300</v>
      </c>
      <c r="G630" s="41"/>
      <c r="H630" s="43">
        <f>H631+H634</f>
        <v>1840</v>
      </c>
    </row>
    <row r="631" spans="1:8" ht="28.9" customHeight="1" x14ac:dyDescent="0.25">
      <c r="A631" s="31"/>
      <c r="B631" s="39" t="s">
        <v>497</v>
      </c>
      <c r="C631" s="40">
        <v>926</v>
      </c>
      <c r="D631" s="41" t="s">
        <v>292</v>
      </c>
      <c r="E631" s="41" t="s">
        <v>135</v>
      </c>
      <c r="F631" s="42" t="s">
        <v>498</v>
      </c>
      <c r="G631" s="41"/>
      <c r="H631" s="43">
        <f>H632</f>
        <v>200</v>
      </c>
    </row>
    <row r="632" spans="1:8" ht="28.9" customHeight="1" x14ac:dyDescent="0.25">
      <c r="A632" s="31"/>
      <c r="B632" s="39" t="s">
        <v>303</v>
      </c>
      <c r="C632" s="40">
        <v>926</v>
      </c>
      <c r="D632" s="41" t="s">
        <v>292</v>
      </c>
      <c r="E632" s="41" t="s">
        <v>135</v>
      </c>
      <c r="F632" s="42" t="s">
        <v>499</v>
      </c>
      <c r="G632" s="41"/>
      <c r="H632" s="43">
        <f>H633</f>
        <v>200</v>
      </c>
    </row>
    <row r="633" spans="1:8" ht="33" customHeight="1" x14ac:dyDescent="0.25">
      <c r="A633" s="31"/>
      <c r="B633" s="39" t="s">
        <v>147</v>
      </c>
      <c r="C633" s="40">
        <v>926</v>
      </c>
      <c r="D633" s="41" t="s">
        <v>292</v>
      </c>
      <c r="E633" s="41" t="s">
        <v>135</v>
      </c>
      <c r="F633" s="42" t="s">
        <v>499</v>
      </c>
      <c r="G633" s="41" t="s">
        <v>148</v>
      </c>
      <c r="H633" s="43">
        <f>200</f>
        <v>200</v>
      </c>
    </row>
    <row r="634" spans="1:8" ht="28.9" customHeight="1" x14ac:dyDescent="0.25">
      <c r="A634" s="31"/>
      <c r="B634" s="39" t="s">
        <v>500</v>
      </c>
      <c r="C634" s="40">
        <v>926</v>
      </c>
      <c r="D634" s="41" t="s">
        <v>292</v>
      </c>
      <c r="E634" s="41" t="s">
        <v>135</v>
      </c>
      <c r="F634" s="42" t="s">
        <v>501</v>
      </c>
      <c r="G634" s="41"/>
      <c r="H634" s="43">
        <f>H635</f>
        <v>1640</v>
      </c>
    </row>
    <row r="635" spans="1:8" ht="28.9" customHeight="1" x14ac:dyDescent="0.25">
      <c r="A635" s="31"/>
      <c r="B635" s="39" t="s">
        <v>303</v>
      </c>
      <c r="C635" s="40">
        <v>926</v>
      </c>
      <c r="D635" s="41" t="s">
        <v>292</v>
      </c>
      <c r="E635" s="41" t="s">
        <v>135</v>
      </c>
      <c r="F635" s="42" t="s">
        <v>502</v>
      </c>
      <c r="G635" s="41"/>
      <c r="H635" s="43">
        <f>H636</f>
        <v>1640</v>
      </c>
    </row>
    <row r="636" spans="1:8" ht="31.5" customHeight="1" x14ac:dyDescent="0.25">
      <c r="A636" s="31"/>
      <c r="B636" s="39" t="s">
        <v>147</v>
      </c>
      <c r="C636" s="40">
        <v>926</v>
      </c>
      <c r="D636" s="41" t="s">
        <v>292</v>
      </c>
      <c r="E636" s="41" t="s">
        <v>135</v>
      </c>
      <c r="F636" s="42" t="s">
        <v>502</v>
      </c>
      <c r="G636" s="41" t="s">
        <v>148</v>
      </c>
      <c r="H636" s="43">
        <f>1640</f>
        <v>1640</v>
      </c>
    </row>
    <row r="637" spans="1:8" ht="28.9" customHeight="1" x14ac:dyDescent="0.25">
      <c r="A637" s="31"/>
      <c r="B637" s="39" t="s">
        <v>536</v>
      </c>
      <c r="C637" s="40">
        <v>926</v>
      </c>
      <c r="D637" s="41" t="s">
        <v>213</v>
      </c>
      <c r="E637" s="41" t="s">
        <v>19</v>
      </c>
      <c r="F637" s="42"/>
      <c r="G637" s="41"/>
      <c r="H637" s="43">
        <f>H638+H655</f>
        <v>195305.3</v>
      </c>
    </row>
    <row r="638" spans="1:8" ht="28.9" customHeight="1" x14ac:dyDescent="0.25">
      <c r="A638" s="31"/>
      <c r="B638" s="39" t="s">
        <v>306</v>
      </c>
      <c r="C638" s="40">
        <v>926</v>
      </c>
      <c r="D638" s="41" t="s">
        <v>213</v>
      </c>
      <c r="E638" s="41" t="s">
        <v>18</v>
      </c>
      <c r="F638" s="42"/>
      <c r="G638" s="41"/>
      <c r="H638" s="43">
        <f>H639</f>
        <v>141983.79999999999</v>
      </c>
    </row>
    <row r="639" spans="1:8" ht="28.9" customHeight="1" x14ac:dyDescent="0.25">
      <c r="A639" s="31"/>
      <c r="B639" s="39" t="s">
        <v>526</v>
      </c>
      <c r="C639" s="40">
        <v>926</v>
      </c>
      <c r="D639" s="41" t="s">
        <v>213</v>
      </c>
      <c r="E639" s="41" t="s">
        <v>18</v>
      </c>
      <c r="F639" s="42" t="s">
        <v>527</v>
      </c>
      <c r="G639" s="41"/>
      <c r="H639" s="43">
        <f>H640</f>
        <v>141983.79999999999</v>
      </c>
    </row>
    <row r="640" spans="1:8" ht="28.9" customHeight="1" x14ac:dyDescent="0.25">
      <c r="A640" s="31"/>
      <c r="B640" s="39" t="s">
        <v>528</v>
      </c>
      <c r="C640" s="40">
        <v>926</v>
      </c>
      <c r="D640" s="41" t="s">
        <v>213</v>
      </c>
      <c r="E640" s="41" t="s">
        <v>18</v>
      </c>
      <c r="F640" s="42" t="s">
        <v>529</v>
      </c>
      <c r="G640" s="41"/>
      <c r="H640" s="43">
        <f>H641+H650</f>
        <v>141983.79999999999</v>
      </c>
    </row>
    <row r="641" spans="1:8" ht="28.9" customHeight="1" x14ac:dyDescent="0.25">
      <c r="A641" s="31"/>
      <c r="B641" s="39" t="s">
        <v>530</v>
      </c>
      <c r="C641" s="40">
        <v>926</v>
      </c>
      <c r="D641" s="41" t="s">
        <v>213</v>
      </c>
      <c r="E641" s="41" t="s">
        <v>18</v>
      </c>
      <c r="F641" s="42" t="s">
        <v>531</v>
      </c>
      <c r="G641" s="41"/>
      <c r="H641" s="43">
        <f>H642+H644+H646+H648</f>
        <v>126980.2</v>
      </c>
    </row>
    <row r="642" spans="1:8" ht="34.5" customHeight="1" x14ac:dyDescent="0.25">
      <c r="A642" s="31"/>
      <c r="B642" s="39" t="s">
        <v>103</v>
      </c>
      <c r="C642" s="40">
        <v>926</v>
      </c>
      <c r="D642" s="41" t="s">
        <v>213</v>
      </c>
      <c r="E642" s="41" t="s">
        <v>18</v>
      </c>
      <c r="F642" s="42" t="s">
        <v>532</v>
      </c>
      <c r="G642" s="41"/>
      <c r="H642" s="43">
        <f>H643</f>
        <v>116731.9</v>
      </c>
    </row>
    <row r="643" spans="1:8" ht="33.75" customHeight="1" x14ac:dyDescent="0.25">
      <c r="A643" s="31"/>
      <c r="B643" s="39" t="s">
        <v>147</v>
      </c>
      <c r="C643" s="40">
        <v>926</v>
      </c>
      <c r="D643" s="41" t="s">
        <v>213</v>
      </c>
      <c r="E643" s="41" t="s">
        <v>18</v>
      </c>
      <c r="F643" s="42" t="s">
        <v>532</v>
      </c>
      <c r="G643" s="41" t="s">
        <v>148</v>
      </c>
      <c r="H643" s="43">
        <f>68598.7+39750.3+367+8797.7-56.6-725.2</f>
        <v>116731.9</v>
      </c>
    </row>
    <row r="644" spans="1:8" ht="28.9" customHeight="1" x14ac:dyDescent="0.25">
      <c r="A644" s="31"/>
      <c r="B644" s="39" t="s">
        <v>537</v>
      </c>
      <c r="C644" s="40">
        <v>926</v>
      </c>
      <c r="D644" s="41" t="s">
        <v>213</v>
      </c>
      <c r="E644" s="41" t="s">
        <v>18</v>
      </c>
      <c r="F644" s="42" t="s">
        <v>538</v>
      </c>
      <c r="G644" s="41"/>
      <c r="H644" s="43">
        <f>H645</f>
        <v>9257.2000000000007</v>
      </c>
    </row>
    <row r="645" spans="1:8" ht="33.75" customHeight="1" x14ac:dyDescent="0.25">
      <c r="A645" s="31"/>
      <c r="B645" s="39" t="s">
        <v>147</v>
      </c>
      <c r="C645" s="40">
        <v>926</v>
      </c>
      <c r="D645" s="41" t="s">
        <v>213</v>
      </c>
      <c r="E645" s="41" t="s">
        <v>18</v>
      </c>
      <c r="F645" s="42" t="s">
        <v>538</v>
      </c>
      <c r="G645" s="41" t="s">
        <v>148</v>
      </c>
      <c r="H645" s="43">
        <f>6585.5+1048.8+360+3657.2-367-2027.3</f>
        <v>9257.2000000000007</v>
      </c>
    </row>
    <row r="646" spans="1:8" ht="28.9" customHeight="1" x14ac:dyDescent="0.25">
      <c r="A646" s="31"/>
      <c r="B646" s="39" t="s">
        <v>539</v>
      </c>
      <c r="C646" s="40">
        <v>926</v>
      </c>
      <c r="D646" s="41" t="s">
        <v>213</v>
      </c>
      <c r="E646" s="41" t="s">
        <v>18</v>
      </c>
      <c r="F646" s="42" t="s">
        <v>540</v>
      </c>
      <c r="G646" s="41"/>
      <c r="H646" s="43">
        <f>H647</f>
        <v>991.1</v>
      </c>
    </row>
    <row r="647" spans="1:8" ht="36" customHeight="1" x14ac:dyDescent="0.25">
      <c r="A647" s="31"/>
      <c r="B647" s="39" t="s">
        <v>147</v>
      </c>
      <c r="C647" s="40">
        <v>926</v>
      </c>
      <c r="D647" s="41" t="s">
        <v>213</v>
      </c>
      <c r="E647" s="41" t="s">
        <v>18</v>
      </c>
      <c r="F647" s="42" t="s">
        <v>540</v>
      </c>
      <c r="G647" s="41" t="s">
        <v>148</v>
      </c>
      <c r="H647" s="43">
        <f>91.9+520.4+1.5+0.2+320.5+56.6</f>
        <v>991.1</v>
      </c>
    </row>
    <row r="648" spans="1:8" ht="36" customHeight="1" x14ac:dyDescent="0.25">
      <c r="A648" s="31"/>
      <c r="B648" s="39" t="s">
        <v>423</v>
      </c>
      <c r="C648" s="40">
        <v>926</v>
      </c>
      <c r="D648" s="41" t="s">
        <v>213</v>
      </c>
      <c r="E648" s="41" t="s">
        <v>18</v>
      </c>
      <c r="F648" s="42" t="s">
        <v>535</v>
      </c>
      <c r="G648" s="41"/>
      <c r="H648" s="43">
        <f>H649</f>
        <v>0</v>
      </c>
    </row>
    <row r="649" spans="1:8" ht="34.5" customHeight="1" x14ac:dyDescent="0.25">
      <c r="A649" s="31"/>
      <c r="B649" s="39" t="s">
        <v>147</v>
      </c>
      <c r="C649" s="40">
        <v>926</v>
      </c>
      <c r="D649" s="41" t="s">
        <v>213</v>
      </c>
      <c r="E649" s="41" t="s">
        <v>18</v>
      </c>
      <c r="F649" s="42" t="s">
        <v>535</v>
      </c>
      <c r="G649" s="41" t="s">
        <v>148</v>
      </c>
      <c r="H649" s="43"/>
    </row>
    <row r="650" spans="1:8" ht="28.9" customHeight="1" x14ac:dyDescent="0.25">
      <c r="A650" s="31"/>
      <c r="B650" s="39" t="s">
        <v>541</v>
      </c>
      <c r="C650" s="40">
        <v>926</v>
      </c>
      <c r="D650" s="41" t="s">
        <v>213</v>
      </c>
      <c r="E650" s="41" t="s">
        <v>18</v>
      </c>
      <c r="F650" s="42" t="s">
        <v>542</v>
      </c>
      <c r="G650" s="41"/>
      <c r="H650" s="43">
        <f>H651+H653</f>
        <v>15003.600000000002</v>
      </c>
    </row>
    <row r="651" spans="1:8" ht="28.9" customHeight="1" x14ac:dyDescent="0.25">
      <c r="A651" s="31"/>
      <c r="B651" s="39" t="s">
        <v>60</v>
      </c>
      <c r="C651" s="40">
        <v>926</v>
      </c>
      <c r="D651" s="41" t="s">
        <v>213</v>
      </c>
      <c r="E651" s="41" t="s">
        <v>18</v>
      </c>
      <c r="F651" s="42" t="s">
        <v>543</v>
      </c>
      <c r="G651" s="41"/>
      <c r="H651" s="43">
        <f>H652</f>
        <v>13403.600000000002</v>
      </c>
    </row>
    <row r="652" spans="1:8" ht="33" customHeight="1" x14ac:dyDescent="0.25">
      <c r="A652" s="31"/>
      <c r="B652" s="39" t="s">
        <v>147</v>
      </c>
      <c r="C652" s="40">
        <v>926</v>
      </c>
      <c r="D652" s="41" t="s">
        <v>213</v>
      </c>
      <c r="E652" s="41" t="s">
        <v>18</v>
      </c>
      <c r="F652" s="42" t="s">
        <v>543</v>
      </c>
      <c r="G652" s="41" t="s">
        <v>148</v>
      </c>
      <c r="H652" s="43">
        <f>15003.6-1600+8797.7-8797.7</f>
        <v>13403.600000000002</v>
      </c>
    </row>
    <row r="653" spans="1:8" ht="28.9" customHeight="1" x14ac:dyDescent="0.25">
      <c r="A653" s="31"/>
      <c r="B653" s="39" t="s">
        <v>537</v>
      </c>
      <c r="C653" s="40">
        <v>926</v>
      </c>
      <c r="D653" s="41" t="s">
        <v>213</v>
      </c>
      <c r="E653" s="41" t="s">
        <v>18</v>
      </c>
      <c r="F653" s="42" t="s">
        <v>544</v>
      </c>
      <c r="G653" s="41"/>
      <c r="H653" s="43">
        <f>H654</f>
        <v>1600</v>
      </c>
    </row>
    <row r="654" spans="1:8" ht="33.75" customHeight="1" x14ac:dyDescent="0.25">
      <c r="A654" s="31"/>
      <c r="B654" s="39" t="s">
        <v>147</v>
      </c>
      <c r="C654" s="40">
        <v>926</v>
      </c>
      <c r="D654" s="41" t="s">
        <v>213</v>
      </c>
      <c r="E654" s="41" t="s">
        <v>18</v>
      </c>
      <c r="F654" s="42" t="s">
        <v>544</v>
      </c>
      <c r="G654" s="41" t="s">
        <v>148</v>
      </c>
      <c r="H654" s="43">
        <v>1600</v>
      </c>
    </row>
    <row r="655" spans="1:8" ht="28.9" customHeight="1" x14ac:dyDescent="0.25">
      <c r="A655" s="31"/>
      <c r="B655" s="39" t="s">
        <v>545</v>
      </c>
      <c r="C655" s="40">
        <v>926</v>
      </c>
      <c r="D655" s="41" t="s">
        <v>213</v>
      </c>
      <c r="E655" s="41" t="s">
        <v>48</v>
      </c>
      <c r="F655" s="42"/>
      <c r="G655" s="41"/>
      <c r="H655" s="43">
        <f>H658+H664</f>
        <v>53321.500000000007</v>
      </c>
    </row>
    <row r="656" spans="1:8" ht="28.9" customHeight="1" x14ac:dyDescent="0.25">
      <c r="A656" s="31"/>
      <c r="B656" s="39" t="s">
        <v>526</v>
      </c>
      <c r="C656" s="40">
        <v>926</v>
      </c>
      <c r="D656" s="41" t="s">
        <v>213</v>
      </c>
      <c r="E656" s="41" t="s">
        <v>48</v>
      </c>
      <c r="F656" s="42" t="s">
        <v>527</v>
      </c>
      <c r="G656" s="41"/>
      <c r="H656" s="43">
        <f>H658+H664</f>
        <v>53321.500000000007</v>
      </c>
    </row>
    <row r="657" spans="1:8" ht="28.9" customHeight="1" x14ac:dyDescent="0.25">
      <c r="A657" s="31"/>
      <c r="B657" s="39" t="s">
        <v>528</v>
      </c>
      <c r="C657" s="40">
        <v>926</v>
      </c>
      <c r="D657" s="41" t="s">
        <v>213</v>
      </c>
      <c r="E657" s="41" t="s">
        <v>48</v>
      </c>
      <c r="F657" s="42" t="s">
        <v>529</v>
      </c>
      <c r="G657" s="41"/>
      <c r="H657" s="43">
        <f>H658+H664</f>
        <v>53321.500000000007</v>
      </c>
    </row>
    <row r="658" spans="1:8" ht="28.9" customHeight="1" x14ac:dyDescent="0.25">
      <c r="A658" s="31"/>
      <c r="B658" s="39" t="s">
        <v>530</v>
      </c>
      <c r="C658" s="40">
        <v>926</v>
      </c>
      <c r="D658" s="41" t="s">
        <v>213</v>
      </c>
      <c r="E658" s="41" t="s">
        <v>48</v>
      </c>
      <c r="F658" s="42" t="s">
        <v>531</v>
      </c>
      <c r="G658" s="41"/>
      <c r="H658" s="43">
        <f>H659+H661</f>
        <v>31821.800000000003</v>
      </c>
    </row>
    <row r="659" spans="1:8" ht="35.25" customHeight="1" x14ac:dyDescent="0.25">
      <c r="A659" s="31"/>
      <c r="B659" s="39" t="s">
        <v>103</v>
      </c>
      <c r="C659" s="40">
        <v>926</v>
      </c>
      <c r="D659" s="41" t="s">
        <v>213</v>
      </c>
      <c r="E659" s="41" t="s">
        <v>48</v>
      </c>
      <c r="F659" s="42" t="s">
        <v>532</v>
      </c>
      <c r="G659" s="41"/>
      <c r="H659" s="43">
        <f>H660</f>
        <v>25494.7</v>
      </c>
    </row>
    <row r="660" spans="1:8" ht="36.75" customHeight="1" x14ac:dyDescent="0.25">
      <c r="A660" s="31"/>
      <c r="B660" s="39" t="s">
        <v>147</v>
      </c>
      <c r="C660" s="40">
        <v>926</v>
      </c>
      <c r="D660" s="41" t="s">
        <v>213</v>
      </c>
      <c r="E660" s="41" t="s">
        <v>48</v>
      </c>
      <c r="F660" s="42" t="s">
        <v>532</v>
      </c>
      <c r="G660" s="41" t="s">
        <v>148</v>
      </c>
      <c r="H660" s="43">
        <f>24769.5+725.2</f>
        <v>25494.7</v>
      </c>
    </row>
    <row r="661" spans="1:8" ht="28.9" customHeight="1" x14ac:dyDescent="0.25">
      <c r="A661" s="31"/>
      <c r="B661" s="39" t="s">
        <v>537</v>
      </c>
      <c r="C661" s="40">
        <v>926</v>
      </c>
      <c r="D661" s="41" t="s">
        <v>213</v>
      </c>
      <c r="E661" s="41" t="s">
        <v>48</v>
      </c>
      <c r="F661" s="42" t="s">
        <v>538</v>
      </c>
      <c r="G661" s="41"/>
      <c r="H661" s="43">
        <f>H662+H663</f>
        <v>6327.1</v>
      </c>
    </row>
    <row r="662" spans="1:8" ht="34.5" customHeight="1" x14ac:dyDescent="0.25">
      <c r="A662" s="31"/>
      <c r="B662" s="39" t="s">
        <v>147</v>
      </c>
      <c r="C662" s="40">
        <v>926</v>
      </c>
      <c r="D662" s="41" t="s">
        <v>213</v>
      </c>
      <c r="E662" s="41" t="s">
        <v>48</v>
      </c>
      <c r="F662" s="42" t="s">
        <v>538</v>
      </c>
      <c r="G662" s="41" t="s">
        <v>148</v>
      </c>
      <c r="H662" s="43">
        <f>4764.7+1632.4-70</f>
        <v>6327.1</v>
      </c>
    </row>
    <row r="663" spans="1:8" ht="36.75" customHeight="1" x14ac:dyDescent="0.25">
      <c r="A663" s="31"/>
      <c r="B663" s="39" t="s">
        <v>35</v>
      </c>
      <c r="C663" s="40">
        <v>926</v>
      </c>
      <c r="D663" s="41" t="s">
        <v>213</v>
      </c>
      <c r="E663" s="41" t="s">
        <v>48</v>
      </c>
      <c r="F663" s="42" t="s">
        <v>538</v>
      </c>
      <c r="G663" s="41" t="s">
        <v>36</v>
      </c>
      <c r="H663" s="43"/>
    </row>
    <row r="664" spans="1:8" ht="31.5" customHeight="1" x14ac:dyDescent="0.25">
      <c r="A664" s="31"/>
      <c r="B664" s="39" t="s">
        <v>546</v>
      </c>
      <c r="C664" s="40">
        <v>926</v>
      </c>
      <c r="D664" s="41" t="s">
        <v>213</v>
      </c>
      <c r="E664" s="41" t="s">
        <v>48</v>
      </c>
      <c r="F664" s="42" t="s">
        <v>547</v>
      </c>
      <c r="G664" s="41"/>
      <c r="H664" s="43">
        <f>H665+H668</f>
        <v>21499.700000000004</v>
      </c>
    </row>
    <row r="665" spans="1:8" ht="28.9" customHeight="1" x14ac:dyDescent="0.25">
      <c r="A665" s="31"/>
      <c r="B665" s="39" t="s">
        <v>26</v>
      </c>
      <c r="C665" s="40">
        <v>926</v>
      </c>
      <c r="D665" s="41" t="s">
        <v>213</v>
      </c>
      <c r="E665" s="41" t="s">
        <v>48</v>
      </c>
      <c r="F665" s="42" t="s">
        <v>548</v>
      </c>
      <c r="G665" s="41"/>
      <c r="H665" s="43">
        <f>H666+H667</f>
        <v>3930.7</v>
      </c>
    </row>
    <row r="666" spans="1:8" ht="50.85" customHeight="1" x14ac:dyDescent="0.25">
      <c r="A666" s="31"/>
      <c r="B666" s="39" t="s">
        <v>28</v>
      </c>
      <c r="C666" s="40">
        <v>926</v>
      </c>
      <c r="D666" s="41" t="s">
        <v>213</v>
      </c>
      <c r="E666" s="41" t="s">
        <v>48</v>
      </c>
      <c r="F666" s="42" t="s">
        <v>548</v>
      </c>
      <c r="G666" s="41" t="s">
        <v>29</v>
      </c>
      <c r="H666" s="43">
        <f>3396.1+60.4-5.2+386-386-6+64-64+130.2</f>
        <v>3575.5</v>
      </c>
    </row>
    <row r="667" spans="1:8" ht="33" customHeight="1" x14ac:dyDescent="0.25">
      <c r="A667" s="31"/>
      <c r="B667" s="39" t="s">
        <v>35</v>
      </c>
      <c r="C667" s="40">
        <v>926</v>
      </c>
      <c r="D667" s="41" t="s">
        <v>213</v>
      </c>
      <c r="E667" s="41" t="s">
        <v>48</v>
      </c>
      <c r="F667" s="42" t="s">
        <v>548</v>
      </c>
      <c r="G667" s="41" t="s">
        <v>36</v>
      </c>
      <c r="H667" s="43">
        <f>280+5.2+6+64</f>
        <v>355.2</v>
      </c>
    </row>
    <row r="668" spans="1:8" ht="35.25" customHeight="1" x14ac:dyDescent="0.25">
      <c r="A668" s="31"/>
      <c r="B668" s="39" t="s">
        <v>103</v>
      </c>
      <c r="C668" s="40">
        <v>926</v>
      </c>
      <c r="D668" s="41" t="s">
        <v>213</v>
      </c>
      <c r="E668" s="41" t="s">
        <v>48</v>
      </c>
      <c r="F668" s="42" t="s">
        <v>549</v>
      </c>
      <c r="G668" s="41"/>
      <c r="H668" s="43">
        <f>H669+H670</f>
        <v>17569.000000000004</v>
      </c>
    </row>
    <row r="669" spans="1:8" ht="48.2" customHeight="1" x14ac:dyDescent="0.25">
      <c r="A669" s="31"/>
      <c r="B669" s="39" t="s">
        <v>28</v>
      </c>
      <c r="C669" s="40">
        <v>926</v>
      </c>
      <c r="D669" s="41" t="s">
        <v>213</v>
      </c>
      <c r="E669" s="41" t="s">
        <v>48</v>
      </c>
      <c r="F669" s="42" t="s">
        <v>549</v>
      </c>
      <c r="G669" s="41" t="s">
        <v>29</v>
      </c>
      <c r="H669" s="43">
        <f>16441.4+9.4</f>
        <v>16450.800000000003</v>
      </c>
    </row>
    <row r="670" spans="1:8" ht="35.25" customHeight="1" x14ac:dyDescent="0.25">
      <c r="A670" s="31"/>
      <c r="B670" s="39" t="s">
        <v>35</v>
      </c>
      <c r="C670" s="40">
        <v>926</v>
      </c>
      <c r="D670" s="41" t="s">
        <v>213</v>
      </c>
      <c r="E670" s="41" t="s">
        <v>48</v>
      </c>
      <c r="F670" s="42" t="s">
        <v>549</v>
      </c>
      <c r="G670" s="41" t="s">
        <v>36</v>
      </c>
      <c r="H670" s="43">
        <f>1118.2</f>
        <v>1118.2</v>
      </c>
    </row>
    <row r="671" spans="1:8" ht="47.45" customHeight="1" x14ac:dyDescent="0.25">
      <c r="A671" s="31">
        <v>7</v>
      </c>
      <c r="B671" s="32" t="s">
        <v>550</v>
      </c>
      <c r="C671" s="33">
        <v>929</v>
      </c>
      <c r="D671" s="34"/>
      <c r="E671" s="34"/>
      <c r="F671" s="42"/>
      <c r="G671" s="34"/>
      <c r="H671" s="36">
        <f>H672+H679</f>
        <v>185582.7</v>
      </c>
    </row>
    <row r="672" spans="1:8" ht="28.9" customHeight="1" x14ac:dyDescent="0.25">
      <c r="A672" s="31"/>
      <c r="B672" s="39" t="s">
        <v>291</v>
      </c>
      <c r="C672" s="40">
        <v>929</v>
      </c>
      <c r="D672" s="41" t="s">
        <v>292</v>
      </c>
      <c r="E672" s="41" t="s">
        <v>19</v>
      </c>
      <c r="F672" s="35"/>
      <c r="G672" s="41"/>
      <c r="H672" s="43">
        <f>H673</f>
        <v>2128.6999999999998</v>
      </c>
    </row>
    <row r="673" spans="1:8" ht="28.9" customHeight="1" x14ac:dyDescent="0.25">
      <c r="A673" s="31"/>
      <c r="B673" s="39" t="s">
        <v>296</v>
      </c>
      <c r="C673" s="40">
        <v>929</v>
      </c>
      <c r="D673" s="41" t="s">
        <v>292</v>
      </c>
      <c r="E673" s="41" t="s">
        <v>135</v>
      </c>
      <c r="F673" s="42"/>
      <c r="G673" s="41"/>
      <c r="H673" s="43">
        <f>H674</f>
        <v>2128.6999999999998</v>
      </c>
    </row>
    <row r="674" spans="1:8" ht="28.9" customHeight="1" x14ac:dyDescent="0.25">
      <c r="A674" s="31"/>
      <c r="B674" s="44" t="s">
        <v>297</v>
      </c>
      <c r="C674" s="40">
        <v>929</v>
      </c>
      <c r="D674" s="41" t="s">
        <v>292</v>
      </c>
      <c r="E674" s="41" t="s">
        <v>135</v>
      </c>
      <c r="F674" s="42" t="s">
        <v>298</v>
      </c>
      <c r="G674" s="41"/>
      <c r="H674" s="43">
        <f>H676</f>
        <v>2128.6999999999998</v>
      </c>
    </row>
    <row r="675" spans="1:8" ht="33.75" customHeight="1" x14ac:dyDescent="0.25">
      <c r="A675" s="31"/>
      <c r="B675" s="44" t="s">
        <v>355</v>
      </c>
      <c r="C675" s="40">
        <v>929</v>
      </c>
      <c r="D675" s="41" t="s">
        <v>292</v>
      </c>
      <c r="E675" s="41" t="s">
        <v>135</v>
      </c>
      <c r="F675" s="42" t="s">
        <v>300</v>
      </c>
      <c r="G675" s="41"/>
      <c r="H675" s="43">
        <f>H676</f>
        <v>2128.6999999999998</v>
      </c>
    </row>
    <row r="676" spans="1:8" ht="28.9" customHeight="1" x14ac:dyDescent="0.25">
      <c r="A676" s="31"/>
      <c r="B676" s="39" t="s">
        <v>551</v>
      </c>
      <c r="C676" s="40">
        <v>929</v>
      </c>
      <c r="D676" s="41" t="s">
        <v>292</v>
      </c>
      <c r="E676" s="41" t="s">
        <v>135</v>
      </c>
      <c r="F676" s="42" t="s">
        <v>501</v>
      </c>
      <c r="G676" s="41"/>
      <c r="H676" s="43">
        <f>H677</f>
        <v>2128.6999999999998</v>
      </c>
    </row>
    <row r="677" spans="1:8" ht="28.9" customHeight="1" x14ac:dyDescent="0.25">
      <c r="A677" s="31"/>
      <c r="B677" s="39" t="s">
        <v>303</v>
      </c>
      <c r="C677" s="40">
        <v>929</v>
      </c>
      <c r="D677" s="41" t="s">
        <v>292</v>
      </c>
      <c r="E677" s="41" t="s">
        <v>135</v>
      </c>
      <c r="F677" s="42" t="s">
        <v>502</v>
      </c>
      <c r="G677" s="41"/>
      <c r="H677" s="43">
        <f>H678</f>
        <v>2128.6999999999998</v>
      </c>
    </row>
    <row r="678" spans="1:8" ht="33.75" customHeight="1" x14ac:dyDescent="0.25">
      <c r="A678" s="31"/>
      <c r="B678" s="39" t="s">
        <v>147</v>
      </c>
      <c r="C678" s="40">
        <v>929</v>
      </c>
      <c r="D678" s="41" t="s">
        <v>292</v>
      </c>
      <c r="E678" s="41" t="s">
        <v>135</v>
      </c>
      <c r="F678" s="42" t="s">
        <v>502</v>
      </c>
      <c r="G678" s="41" t="s">
        <v>148</v>
      </c>
      <c r="H678" s="43">
        <f>2128.7</f>
        <v>2128.6999999999998</v>
      </c>
    </row>
    <row r="679" spans="1:8" ht="28.9" customHeight="1" x14ac:dyDescent="0.25">
      <c r="A679" s="31"/>
      <c r="B679" s="39" t="s">
        <v>359</v>
      </c>
      <c r="C679" s="40">
        <v>929</v>
      </c>
      <c r="D679" s="41" t="s">
        <v>360</v>
      </c>
      <c r="E679" s="41" t="s">
        <v>19</v>
      </c>
      <c r="F679" s="42"/>
      <c r="G679" s="41"/>
      <c r="H679" s="43">
        <f>H680+H714+H689</f>
        <v>183454</v>
      </c>
    </row>
    <row r="680" spans="1:8" ht="28.9" customHeight="1" x14ac:dyDescent="0.25">
      <c r="A680" s="31"/>
      <c r="B680" s="39" t="s">
        <v>552</v>
      </c>
      <c r="C680" s="40">
        <v>929</v>
      </c>
      <c r="D680" s="41" t="s">
        <v>360</v>
      </c>
      <c r="E680" s="41" t="s">
        <v>41</v>
      </c>
      <c r="F680" s="42"/>
      <c r="G680" s="41"/>
      <c r="H680" s="43">
        <f>H681</f>
        <v>3715.9</v>
      </c>
    </row>
    <row r="681" spans="1:8" ht="28.9" customHeight="1" x14ac:dyDescent="0.25">
      <c r="A681" s="31"/>
      <c r="B681" s="39" t="s">
        <v>553</v>
      </c>
      <c r="C681" s="40">
        <v>929</v>
      </c>
      <c r="D681" s="41" t="s">
        <v>360</v>
      </c>
      <c r="E681" s="41" t="s">
        <v>41</v>
      </c>
      <c r="F681" s="42" t="s">
        <v>554</v>
      </c>
      <c r="G681" s="41"/>
      <c r="H681" s="43">
        <f>H682</f>
        <v>3715.9</v>
      </c>
    </row>
    <row r="682" spans="1:8" ht="28.9" customHeight="1" x14ac:dyDescent="0.25">
      <c r="A682" s="31"/>
      <c r="B682" s="39" t="s">
        <v>555</v>
      </c>
      <c r="C682" s="40">
        <v>929</v>
      </c>
      <c r="D682" s="41" t="s">
        <v>360</v>
      </c>
      <c r="E682" s="41" t="s">
        <v>41</v>
      </c>
      <c r="F682" s="42" t="s">
        <v>556</v>
      </c>
      <c r="G682" s="41"/>
      <c r="H682" s="43">
        <f>H683</f>
        <v>3715.9</v>
      </c>
    </row>
    <row r="683" spans="1:8" ht="28.9" customHeight="1" x14ac:dyDescent="0.25">
      <c r="A683" s="31"/>
      <c r="B683" s="39" t="s">
        <v>557</v>
      </c>
      <c r="C683" s="40">
        <v>929</v>
      </c>
      <c r="D683" s="41" t="s">
        <v>360</v>
      </c>
      <c r="E683" s="41" t="s">
        <v>41</v>
      </c>
      <c r="F683" s="42" t="s">
        <v>558</v>
      </c>
      <c r="G683" s="41"/>
      <c r="H683" s="43">
        <f>H684</f>
        <v>3715.9</v>
      </c>
    </row>
    <row r="684" spans="1:8" ht="28.9" customHeight="1" x14ac:dyDescent="0.25">
      <c r="A684" s="31"/>
      <c r="B684" s="39" t="s">
        <v>557</v>
      </c>
      <c r="C684" s="40">
        <v>929</v>
      </c>
      <c r="D684" s="41" t="s">
        <v>360</v>
      </c>
      <c r="E684" s="41" t="s">
        <v>41</v>
      </c>
      <c r="F684" s="42" t="s">
        <v>559</v>
      </c>
      <c r="G684" s="41"/>
      <c r="H684" s="43">
        <f>H686+H685+H687+H688</f>
        <v>3715.9</v>
      </c>
    </row>
    <row r="685" spans="1:8" ht="50.25" customHeight="1" x14ac:dyDescent="0.25">
      <c r="A685" s="31"/>
      <c r="B685" s="39" t="s">
        <v>28</v>
      </c>
      <c r="C685" s="40">
        <v>929</v>
      </c>
      <c r="D685" s="41" t="s">
        <v>360</v>
      </c>
      <c r="E685" s="41" t="s">
        <v>41</v>
      </c>
      <c r="F685" s="42" t="s">
        <v>559</v>
      </c>
      <c r="G685" s="41" t="s">
        <v>29</v>
      </c>
      <c r="H685" s="43">
        <f>2074.4+500</f>
        <v>2574.4</v>
      </c>
    </row>
    <row r="686" spans="1:8" ht="33.75" customHeight="1" x14ac:dyDescent="0.25">
      <c r="A686" s="31"/>
      <c r="B686" s="39" t="s">
        <v>35</v>
      </c>
      <c r="C686" s="40">
        <v>929</v>
      </c>
      <c r="D686" s="41" t="s">
        <v>360</v>
      </c>
      <c r="E686" s="41" t="s">
        <v>41</v>
      </c>
      <c r="F686" s="42" t="s">
        <v>559</v>
      </c>
      <c r="G686" s="41" t="s">
        <v>36</v>
      </c>
      <c r="H686" s="43">
        <f>1520-500</f>
        <v>1020</v>
      </c>
    </row>
    <row r="687" spans="1:8" ht="28.9" customHeight="1" x14ac:dyDescent="0.25">
      <c r="A687" s="31"/>
      <c r="B687" s="39" t="s">
        <v>30</v>
      </c>
      <c r="C687" s="40">
        <v>929</v>
      </c>
      <c r="D687" s="41" t="s">
        <v>360</v>
      </c>
      <c r="E687" s="41" t="s">
        <v>41</v>
      </c>
      <c r="F687" s="42" t="s">
        <v>559</v>
      </c>
      <c r="G687" s="41" t="s">
        <v>31</v>
      </c>
      <c r="H687" s="43">
        <f>120</f>
        <v>120</v>
      </c>
    </row>
    <row r="688" spans="1:8" ht="28.9" customHeight="1" x14ac:dyDescent="0.25">
      <c r="A688" s="31"/>
      <c r="B688" s="39" t="s">
        <v>37</v>
      </c>
      <c r="C688" s="40">
        <v>929</v>
      </c>
      <c r="D688" s="41" t="s">
        <v>360</v>
      </c>
      <c r="E688" s="41" t="s">
        <v>41</v>
      </c>
      <c r="F688" s="42" t="s">
        <v>559</v>
      </c>
      <c r="G688" s="41" t="s">
        <v>38</v>
      </c>
      <c r="H688" s="43">
        <f>1.5</f>
        <v>1.5</v>
      </c>
    </row>
    <row r="689" spans="1:8" ht="28.9" customHeight="1" x14ac:dyDescent="0.25">
      <c r="A689" s="31"/>
      <c r="B689" s="39" t="s">
        <v>361</v>
      </c>
      <c r="C689" s="40">
        <v>929</v>
      </c>
      <c r="D689" s="41" t="s">
        <v>360</v>
      </c>
      <c r="E689" s="41" t="s">
        <v>21</v>
      </c>
      <c r="F689" s="42"/>
      <c r="G689" s="41"/>
      <c r="H689" s="43">
        <f>H690</f>
        <v>171768.1</v>
      </c>
    </row>
    <row r="690" spans="1:8" ht="28.9" customHeight="1" x14ac:dyDescent="0.25">
      <c r="A690" s="31"/>
      <c r="B690" s="39" t="s">
        <v>553</v>
      </c>
      <c r="C690" s="40">
        <v>929</v>
      </c>
      <c r="D690" s="41" t="s">
        <v>360</v>
      </c>
      <c r="E690" s="41" t="s">
        <v>21</v>
      </c>
      <c r="F690" s="42" t="s">
        <v>554</v>
      </c>
      <c r="G690" s="41"/>
      <c r="H690" s="43">
        <f>H691</f>
        <v>171768.1</v>
      </c>
    </row>
    <row r="691" spans="1:8" ht="28.9" customHeight="1" x14ac:dyDescent="0.25">
      <c r="A691" s="31"/>
      <c r="B691" s="39" t="s">
        <v>555</v>
      </c>
      <c r="C691" s="40">
        <v>929</v>
      </c>
      <c r="D691" s="41" t="s">
        <v>360</v>
      </c>
      <c r="E691" s="41" t="s">
        <v>21</v>
      </c>
      <c r="F691" s="42" t="s">
        <v>556</v>
      </c>
      <c r="G691" s="41"/>
      <c r="H691" s="43">
        <f>H692</f>
        <v>171768.1</v>
      </c>
    </row>
    <row r="692" spans="1:8" ht="28.9" customHeight="1" x14ac:dyDescent="0.25">
      <c r="A692" s="31"/>
      <c r="B692" s="39" t="s">
        <v>560</v>
      </c>
      <c r="C692" s="40">
        <v>929</v>
      </c>
      <c r="D692" s="41" t="s">
        <v>360</v>
      </c>
      <c r="E692" s="41" t="s">
        <v>21</v>
      </c>
      <c r="F692" s="42" t="s">
        <v>561</v>
      </c>
      <c r="G692" s="41"/>
      <c r="H692" s="43">
        <f>H693+H695+H697+H699+H702+H704+H706+H708+H710+H712</f>
        <v>171768.1</v>
      </c>
    </row>
    <row r="693" spans="1:8" ht="36" customHeight="1" x14ac:dyDescent="0.25">
      <c r="A693" s="31"/>
      <c r="B693" s="39" t="s">
        <v>103</v>
      </c>
      <c r="C693" s="40">
        <v>929</v>
      </c>
      <c r="D693" s="41" t="s">
        <v>360</v>
      </c>
      <c r="E693" s="41" t="s">
        <v>21</v>
      </c>
      <c r="F693" s="42" t="s">
        <v>562</v>
      </c>
      <c r="G693" s="41"/>
      <c r="H693" s="43">
        <f>H694</f>
        <v>144254</v>
      </c>
    </row>
    <row r="694" spans="1:8" ht="38.25" customHeight="1" x14ac:dyDescent="0.25">
      <c r="A694" s="31"/>
      <c r="B694" s="39" t="s">
        <v>147</v>
      </c>
      <c r="C694" s="40">
        <v>929</v>
      </c>
      <c r="D694" s="41" t="s">
        <v>360</v>
      </c>
      <c r="E694" s="41" t="s">
        <v>21</v>
      </c>
      <c r="F694" s="42" t="s">
        <v>562</v>
      </c>
      <c r="G694" s="41" t="s">
        <v>148</v>
      </c>
      <c r="H694" s="43">
        <f>144254</f>
        <v>144254</v>
      </c>
    </row>
    <row r="695" spans="1:8" ht="28.9" customHeight="1" x14ac:dyDescent="0.25">
      <c r="A695" s="31"/>
      <c r="B695" s="39" t="s">
        <v>557</v>
      </c>
      <c r="C695" s="40">
        <v>929</v>
      </c>
      <c r="D695" s="41" t="s">
        <v>360</v>
      </c>
      <c r="E695" s="41" t="s">
        <v>21</v>
      </c>
      <c r="F695" s="42" t="s">
        <v>563</v>
      </c>
      <c r="G695" s="41"/>
      <c r="H695" s="43">
        <f>H696</f>
        <v>12707.099999999999</v>
      </c>
    </row>
    <row r="696" spans="1:8" ht="36" customHeight="1" x14ac:dyDescent="0.25">
      <c r="A696" s="31"/>
      <c r="B696" s="39" t="s">
        <v>147</v>
      </c>
      <c r="C696" s="40">
        <v>929</v>
      </c>
      <c r="D696" s="41" t="s">
        <v>360</v>
      </c>
      <c r="E696" s="41" t="s">
        <v>21</v>
      </c>
      <c r="F696" s="42" t="s">
        <v>563</v>
      </c>
      <c r="G696" s="41" t="s">
        <v>148</v>
      </c>
      <c r="H696" s="43">
        <f>128+2331.5+8520+1660.5+319.9-0.2-252.6</f>
        <v>12707.099999999999</v>
      </c>
    </row>
    <row r="697" spans="1:8" ht="35.25" customHeight="1" x14ac:dyDescent="0.25">
      <c r="A697" s="31"/>
      <c r="B697" s="39" t="s">
        <v>523</v>
      </c>
      <c r="C697" s="40">
        <v>929</v>
      </c>
      <c r="D697" s="41" t="s">
        <v>360</v>
      </c>
      <c r="E697" s="41" t="s">
        <v>21</v>
      </c>
      <c r="F697" s="42" t="s">
        <v>564</v>
      </c>
      <c r="G697" s="41"/>
      <c r="H697" s="43">
        <f>H698</f>
        <v>6818.1</v>
      </c>
    </row>
    <row r="698" spans="1:8" ht="33" customHeight="1" x14ac:dyDescent="0.25">
      <c r="A698" s="31"/>
      <c r="B698" s="39" t="s">
        <v>147</v>
      </c>
      <c r="C698" s="40">
        <v>929</v>
      </c>
      <c r="D698" s="41" t="s">
        <v>360</v>
      </c>
      <c r="E698" s="41" t="s">
        <v>21</v>
      </c>
      <c r="F698" s="42" t="s">
        <v>564</v>
      </c>
      <c r="G698" s="41" t="s">
        <v>148</v>
      </c>
      <c r="H698" s="43">
        <f>6818.1</f>
        <v>6818.1</v>
      </c>
    </row>
    <row r="699" spans="1:8" ht="114.95" customHeight="1" x14ac:dyDescent="0.25">
      <c r="A699" s="31"/>
      <c r="B699" s="39" t="s">
        <v>565</v>
      </c>
      <c r="C699" s="40">
        <v>929</v>
      </c>
      <c r="D699" s="41" t="s">
        <v>360</v>
      </c>
      <c r="E699" s="41" t="s">
        <v>21</v>
      </c>
      <c r="F699" s="42" t="s">
        <v>566</v>
      </c>
      <c r="G699" s="41"/>
      <c r="H699" s="43">
        <f>H700+H701</f>
        <v>218.8</v>
      </c>
    </row>
    <row r="700" spans="1:8" ht="28.9" customHeight="1" x14ac:dyDescent="0.25">
      <c r="A700" s="31"/>
      <c r="B700" s="39" t="s">
        <v>30</v>
      </c>
      <c r="C700" s="40">
        <v>929</v>
      </c>
      <c r="D700" s="41" t="s">
        <v>360</v>
      </c>
      <c r="E700" s="41" t="s">
        <v>21</v>
      </c>
      <c r="F700" s="42" t="s">
        <v>566</v>
      </c>
      <c r="G700" s="41" t="s">
        <v>31</v>
      </c>
      <c r="H700" s="43"/>
    </row>
    <row r="701" spans="1:8" ht="34.5" customHeight="1" x14ac:dyDescent="0.25">
      <c r="A701" s="31"/>
      <c r="B701" s="39" t="s">
        <v>147</v>
      </c>
      <c r="C701" s="40">
        <v>929</v>
      </c>
      <c r="D701" s="41" t="s">
        <v>360</v>
      </c>
      <c r="E701" s="41" t="s">
        <v>21</v>
      </c>
      <c r="F701" s="42" t="s">
        <v>566</v>
      </c>
      <c r="G701" s="41" t="s">
        <v>148</v>
      </c>
      <c r="H701" s="43">
        <v>218.8</v>
      </c>
    </row>
    <row r="702" spans="1:8" ht="35.25" customHeight="1" x14ac:dyDescent="0.25">
      <c r="A702" s="31"/>
      <c r="B702" s="39" t="s">
        <v>423</v>
      </c>
      <c r="C702" s="40">
        <v>929</v>
      </c>
      <c r="D702" s="41" t="s">
        <v>360</v>
      </c>
      <c r="E702" s="41" t="s">
        <v>21</v>
      </c>
      <c r="F702" s="42" t="s">
        <v>567</v>
      </c>
      <c r="G702" s="41"/>
      <c r="H702" s="43">
        <f>H703</f>
        <v>1000</v>
      </c>
    </row>
    <row r="703" spans="1:8" ht="36.75" customHeight="1" x14ac:dyDescent="0.25">
      <c r="A703" s="31"/>
      <c r="B703" s="39" t="s">
        <v>147</v>
      </c>
      <c r="C703" s="40">
        <v>929</v>
      </c>
      <c r="D703" s="41" t="s">
        <v>360</v>
      </c>
      <c r="E703" s="41" t="s">
        <v>21</v>
      </c>
      <c r="F703" s="42" t="s">
        <v>567</v>
      </c>
      <c r="G703" s="41" t="s">
        <v>148</v>
      </c>
      <c r="H703" s="43">
        <v>1000</v>
      </c>
    </row>
    <row r="704" spans="1:8" ht="37.5" customHeight="1" x14ac:dyDescent="0.25">
      <c r="A704" s="31"/>
      <c r="B704" s="39" t="s">
        <v>568</v>
      </c>
      <c r="C704" s="40">
        <v>929</v>
      </c>
      <c r="D704" s="41" t="s">
        <v>360</v>
      </c>
      <c r="E704" s="41" t="s">
        <v>21</v>
      </c>
      <c r="F704" s="42" t="s">
        <v>569</v>
      </c>
      <c r="G704" s="41"/>
      <c r="H704" s="43">
        <f>H705</f>
        <v>2241.1</v>
      </c>
    </row>
    <row r="705" spans="1:8" ht="36.75" customHeight="1" x14ac:dyDescent="0.25">
      <c r="A705" s="31"/>
      <c r="B705" s="39" t="s">
        <v>147</v>
      </c>
      <c r="C705" s="40">
        <v>929</v>
      </c>
      <c r="D705" s="41" t="s">
        <v>360</v>
      </c>
      <c r="E705" s="41" t="s">
        <v>21</v>
      </c>
      <c r="F705" s="42" t="s">
        <v>569</v>
      </c>
      <c r="G705" s="41" t="s">
        <v>148</v>
      </c>
      <c r="H705" s="43">
        <f>278.5+1577.8+327.1+57.7</f>
        <v>2241.1</v>
      </c>
    </row>
    <row r="706" spans="1:8" ht="35.25" customHeight="1" x14ac:dyDescent="0.25">
      <c r="A706" s="31"/>
      <c r="B706" s="39" t="s">
        <v>570</v>
      </c>
      <c r="C706" s="40">
        <v>929</v>
      </c>
      <c r="D706" s="41" t="s">
        <v>360</v>
      </c>
      <c r="E706" s="41" t="s">
        <v>21</v>
      </c>
      <c r="F706" s="42" t="s">
        <v>571</v>
      </c>
      <c r="G706" s="41"/>
      <c r="H706" s="43">
        <f>H707</f>
        <v>252.6</v>
      </c>
    </row>
    <row r="707" spans="1:8" ht="35.25" customHeight="1" x14ac:dyDescent="0.25">
      <c r="A707" s="31"/>
      <c r="B707" s="39" t="s">
        <v>147</v>
      </c>
      <c r="C707" s="40">
        <v>929</v>
      </c>
      <c r="D707" s="41" t="s">
        <v>360</v>
      </c>
      <c r="E707" s="41" t="s">
        <v>21</v>
      </c>
      <c r="F707" s="42" t="s">
        <v>571</v>
      </c>
      <c r="G707" s="41" t="s">
        <v>148</v>
      </c>
      <c r="H707" s="43">
        <v>252.6</v>
      </c>
    </row>
    <row r="708" spans="1:8" ht="94.9" customHeight="1" x14ac:dyDescent="0.25">
      <c r="A708" s="31"/>
      <c r="B708" s="39" t="s">
        <v>419</v>
      </c>
      <c r="C708" s="40">
        <v>929</v>
      </c>
      <c r="D708" s="41" t="s">
        <v>360</v>
      </c>
      <c r="E708" s="41" t="s">
        <v>21</v>
      </c>
      <c r="F708" s="42" t="s">
        <v>572</v>
      </c>
      <c r="G708" s="41"/>
      <c r="H708" s="43">
        <f>H709</f>
        <v>811.09999999999991</v>
      </c>
    </row>
    <row r="709" spans="1:8" ht="33.75" customHeight="1" x14ac:dyDescent="0.25">
      <c r="A709" s="31"/>
      <c r="B709" s="39" t="s">
        <v>147</v>
      </c>
      <c r="C709" s="40">
        <v>929</v>
      </c>
      <c r="D709" s="41" t="s">
        <v>360</v>
      </c>
      <c r="E709" s="41" t="s">
        <v>21</v>
      </c>
      <c r="F709" s="42" t="s">
        <v>572</v>
      </c>
      <c r="G709" s="41" t="s">
        <v>148</v>
      </c>
      <c r="H709" s="43">
        <f>1588.1-777</f>
        <v>811.09999999999991</v>
      </c>
    </row>
    <row r="710" spans="1:8" ht="39" customHeight="1" x14ac:dyDescent="0.25">
      <c r="A710" s="31"/>
      <c r="B710" s="39" t="s">
        <v>570</v>
      </c>
      <c r="C710" s="40">
        <v>929</v>
      </c>
      <c r="D710" s="41" t="s">
        <v>360</v>
      </c>
      <c r="E710" s="41" t="s">
        <v>21</v>
      </c>
      <c r="F710" s="42" t="s">
        <v>573</v>
      </c>
      <c r="G710" s="41"/>
      <c r="H710" s="43">
        <f>H711</f>
        <v>3465.3</v>
      </c>
    </row>
    <row r="711" spans="1:8" ht="36.75" customHeight="1" x14ac:dyDescent="0.25">
      <c r="A711" s="31"/>
      <c r="B711" s="39" t="s">
        <v>147</v>
      </c>
      <c r="C711" s="40">
        <v>929</v>
      </c>
      <c r="D711" s="41" t="s">
        <v>360</v>
      </c>
      <c r="E711" s="41" t="s">
        <v>21</v>
      </c>
      <c r="F711" s="42" t="s">
        <v>573</v>
      </c>
      <c r="G711" s="41" t="s">
        <v>148</v>
      </c>
      <c r="H711" s="43">
        <f>2945.3+519.8+0.2</f>
        <v>3465.3</v>
      </c>
    </row>
    <row r="712" spans="1:8" ht="54.75" customHeight="1" x14ac:dyDescent="0.25">
      <c r="A712" s="31"/>
      <c r="B712" s="39" t="s">
        <v>574</v>
      </c>
      <c r="C712" s="40">
        <v>929</v>
      </c>
      <c r="D712" s="41" t="s">
        <v>360</v>
      </c>
      <c r="E712" s="41" t="s">
        <v>21</v>
      </c>
      <c r="F712" s="42" t="s">
        <v>575</v>
      </c>
      <c r="G712" s="41"/>
      <c r="H712" s="43">
        <f>H713</f>
        <v>0</v>
      </c>
    </row>
    <row r="713" spans="1:8" ht="33.75" customHeight="1" x14ac:dyDescent="0.25">
      <c r="A713" s="31"/>
      <c r="B713" s="39" t="s">
        <v>147</v>
      </c>
      <c r="C713" s="40">
        <v>929</v>
      </c>
      <c r="D713" s="41" t="s">
        <v>360</v>
      </c>
      <c r="E713" s="41" t="s">
        <v>21</v>
      </c>
      <c r="F713" s="42" t="s">
        <v>575</v>
      </c>
      <c r="G713" s="41" t="s">
        <v>148</v>
      </c>
      <c r="H713" s="43"/>
    </row>
    <row r="714" spans="1:8" ht="28.9" customHeight="1" x14ac:dyDescent="0.25">
      <c r="A714" s="31"/>
      <c r="B714" s="39" t="s">
        <v>576</v>
      </c>
      <c r="C714" s="40">
        <v>929</v>
      </c>
      <c r="D714" s="41" t="s">
        <v>360</v>
      </c>
      <c r="E714" s="41" t="s">
        <v>84</v>
      </c>
      <c r="F714" s="42"/>
      <c r="G714" s="41"/>
      <c r="H714" s="43">
        <f>H715</f>
        <v>7970</v>
      </c>
    </row>
    <row r="715" spans="1:8" ht="28.9" customHeight="1" x14ac:dyDescent="0.25">
      <c r="A715" s="31"/>
      <c r="B715" s="39" t="s">
        <v>553</v>
      </c>
      <c r="C715" s="40">
        <v>929</v>
      </c>
      <c r="D715" s="41" t="s">
        <v>360</v>
      </c>
      <c r="E715" s="41" t="s">
        <v>577</v>
      </c>
      <c r="F715" s="42" t="s">
        <v>554</v>
      </c>
      <c r="G715" s="41"/>
      <c r="H715" s="43">
        <f>H717</f>
        <v>7970</v>
      </c>
    </row>
    <row r="716" spans="1:8" ht="28.9" customHeight="1" x14ac:dyDescent="0.25">
      <c r="A716" s="31"/>
      <c r="B716" s="39" t="s">
        <v>555</v>
      </c>
      <c r="C716" s="40">
        <v>929</v>
      </c>
      <c r="D716" s="41" t="s">
        <v>360</v>
      </c>
      <c r="E716" s="41" t="s">
        <v>84</v>
      </c>
      <c r="F716" s="42" t="s">
        <v>556</v>
      </c>
      <c r="G716" s="41"/>
      <c r="H716" s="43">
        <f>H717</f>
        <v>7970</v>
      </c>
    </row>
    <row r="717" spans="1:8" ht="28.9" customHeight="1" x14ac:dyDescent="0.25">
      <c r="A717" s="31"/>
      <c r="B717" s="39" t="s">
        <v>578</v>
      </c>
      <c r="C717" s="40">
        <v>929</v>
      </c>
      <c r="D717" s="41" t="s">
        <v>360</v>
      </c>
      <c r="E717" s="41" t="s">
        <v>84</v>
      </c>
      <c r="F717" s="42" t="s">
        <v>579</v>
      </c>
      <c r="G717" s="41"/>
      <c r="H717" s="43">
        <f>H718</f>
        <v>7970</v>
      </c>
    </row>
    <row r="718" spans="1:8" ht="28.9" customHeight="1" x14ac:dyDescent="0.25">
      <c r="A718" s="31"/>
      <c r="B718" s="39" t="s">
        <v>26</v>
      </c>
      <c r="C718" s="40">
        <v>929</v>
      </c>
      <c r="D718" s="41" t="s">
        <v>360</v>
      </c>
      <c r="E718" s="41" t="s">
        <v>84</v>
      </c>
      <c r="F718" s="42" t="s">
        <v>580</v>
      </c>
      <c r="G718" s="41"/>
      <c r="H718" s="43">
        <f>H719+H720+H721</f>
        <v>7970</v>
      </c>
    </row>
    <row r="719" spans="1:8" ht="53.25" customHeight="1" x14ac:dyDescent="0.25">
      <c r="A719" s="31"/>
      <c r="B719" s="39" t="s">
        <v>28</v>
      </c>
      <c r="C719" s="40">
        <v>929</v>
      </c>
      <c r="D719" s="41" t="s">
        <v>360</v>
      </c>
      <c r="E719" s="41" t="s">
        <v>84</v>
      </c>
      <c r="F719" s="42" t="s">
        <v>580</v>
      </c>
      <c r="G719" s="41" t="s">
        <v>29</v>
      </c>
      <c r="H719" s="43">
        <f>7101.6</f>
        <v>7101.6</v>
      </c>
    </row>
    <row r="720" spans="1:8" ht="33.75" customHeight="1" x14ac:dyDescent="0.25">
      <c r="A720" s="31"/>
      <c r="B720" s="39" t="s">
        <v>35</v>
      </c>
      <c r="C720" s="40">
        <v>929</v>
      </c>
      <c r="D720" s="41" t="s">
        <v>360</v>
      </c>
      <c r="E720" s="41" t="s">
        <v>84</v>
      </c>
      <c r="F720" s="42" t="s">
        <v>580</v>
      </c>
      <c r="G720" s="41" t="s">
        <v>36</v>
      </c>
      <c r="H720" s="43">
        <f>863.2</f>
        <v>863.2</v>
      </c>
    </row>
    <row r="721" spans="1:8" ht="28.9" customHeight="1" x14ac:dyDescent="0.25">
      <c r="A721" s="31"/>
      <c r="B721" s="39" t="s">
        <v>37</v>
      </c>
      <c r="C721" s="40">
        <v>929</v>
      </c>
      <c r="D721" s="41" t="s">
        <v>360</v>
      </c>
      <c r="E721" s="41" t="s">
        <v>84</v>
      </c>
      <c r="F721" s="42" t="s">
        <v>580</v>
      </c>
      <c r="G721" s="41" t="s">
        <v>38</v>
      </c>
      <c r="H721" s="43">
        <f>5.2</f>
        <v>5.2</v>
      </c>
    </row>
    <row r="722" spans="1:8" ht="50.1" customHeight="1" x14ac:dyDescent="0.25">
      <c r="A722" s="31">
        <v>8</v>
      </c>
      <c r="B722" s="32" t="s">
        <v>581</v>
      </c>
      <c r="C722" s="33">
        <v>930</v>
      </c>
      <c r="D722" s="34"/>
      <c r="E722" s="34"/>
      <c r="F722" s="42"/>
      <c r="G722" s="34"/>
      <c r="H722" s="36">
        <f>H723+H735</f>
        <v>130842.40000000001</v>
      </c>
    </row>
    <row r="723" spans="1:8" ht="28.9" customHeight="1" x14ac:dyDescent="0.25">
      <c r="A723" s="31"/>
      <c r="B723" s="39" t="s">
        <v>291</v>
      </c>
      <c r="C723" s="40">
        <v>930</v>
      </c>
      <c r="D723" s="41" t="s">
        <v>292</v>
      </c>
      <c r="E723" s="41" t="s">
        <v>19</v>
      </c>
      <c r="F723" s="42"/>
      <c r="G723" s="41"/>
      <c r="H723" s="43">
        <f>H724</f>
        <v>169.8</v>
      </c>
    </row>
    <row r="724" spans="1:8" ht="28.9" customHeight="1" x14ac:dyDescent="0.25">
      <c r="A724" s="31"/>
      <c r="B724" s="39" t="s">
        <v>296</v>
      </c>
      <c r="C724" s="40">
        <v>930</v>
      </c>
      <c r="D724" s="41" t="s">
        <v>292</v>
      </c>
      <c r="E724" s="41" t="s">
        <v>135</v>
      </c>
      <c r="F724" s="42"/>
      <c r="G724" s="41"/>
      <c r="H724" s="43">
        <f>H725</f>
        <v>169.8</v>
      </c>
    </row>
    <row r="725" spans="1:8" ht="23.25" customHeight="1" x14ac:dyDescent="0.25">
      <c r="A725" s="31"/>
      <c r="B725" s="44" t="s">
        <v>297</v>
      </c>
      <c r="C725" s="40">
        <v>930</v>
      </c>
      <c r="D725" s="41" t="s">
        <v>292</v>
      </c>
      <c r="E725" s="41" t="s">
        <v>135</v>
      </c>
      <c r="F725" s="42" t="s">
        <v>298</v>
      </c>
      <c r="G725" s="41"/>
      <c r="H725" s="43">
        <f>H726</f>
        <v>169.8</v>
      </c>
    </row>
    <row r="726" spans="1:8" ht="36.75" customHeight="1" x14ac:dyDescent="0.25">
      <c r="A726" s="31"/>
      <c r="B726" s="44" t="s">
        <v>355</v>
      </c>
      <c r="C726" s="40">
        <v>930</v>
      </c>
      <c r="D726" s="41" t="s">
        <v>292</v>
      </c>
      <c r="E726" s="41" t="s">
        <v>135</v>
      </c>
      <c r="F726" s="42" t="s">
        <v>300</v>
      </c>
      <c r="G726" s="41"/>
      <c r="H726" s="43">
        <f>H730+H727</f>
        <v>169.8</v>
      </c>
    </row>
    <row r="727" spans="1:8" ht="24" customHeight="1" x14ac:dyDescent="0.25">
      <c r="A727" s="31"/>
      <c r="B727" s="39" t="s">
        <v>500</v>
      </c>
      <c r="C727" s="40">
        <v>930</v>
      </c>
      <c r="D727" s="41" t="s">
        <v>292</v>
      </c>
      <c r="E727" s="41" t="s">
        <v>135</v>
      </c>
      <c r="F727" s="42" t="s">
        <v>501</v>
      </c>
      <c r="G727" s="41"/>
      <c r="H727" s="43">
        <f>H728</f>
        <v>21.7</v>
      </c>
    </row>
    <row r="728" spans="1:8" ht="28.9" customHeight="1" x14ac:dyDescent="0.25">
      <c r="A728" s="31"/>
      <c r="B728" s="39" t="s">
        <v>303</v>
      </c>
      <c r="C728" s="40">
        <v>930</v>
      </c>
      <c r="D728" s="41" t="s">
        <v>292</v>
      </c>
      <c r="E728" s="41" t="s">
        <v>135</v>
      </c>
      <c r="F728" s="42" t="s">
        <v>502</v>
      </c>
      <c r="G728" s="41"/>
      <c r="H728" s="43">
        <f>H729</f>
        <v>21.7</v>
      </c>
    </row>
    <row r="729" spans="1:8" ht="34.5" customHeight="1" x14ac:dyDescent="0.25">
      <c r="A729" s="31"/>
      <c r="B729" s="39" t="s">
        <v>35</v>
      </c>
      <c r="C729" s="40">
        <v>930</v>
      </c>
      <c r="D729" s="41" t="s">
        <v>292</v>
      </c>
      <c r="E729" s="41" t="s">
        <v>135</v>
      </c>
      <c r="F729" s="42" t="s">
        <v>502</v>
      </c>
      <c r="G729" s="41" t="s">
        <v>36</v>
      </c>
      <c r="H729" s="43">
        <f>21.7</f>
        <v>21.7</v>
      </c>
    </row>
    <row r="730" spans="1:8" ht="28.9" customHeight="1" x14ac:dyDescent="0.25">
      <c r="A730" s="31"/>
      <c r="B730" s="39" t="s">
        <v>356</v>
      </c>
      <c r="C730" s="40">
        <v>930</v>
      </c>
      <c r="D730" s="41" t="s">
        <v>292</v>
      </c>
      <c r="E730" s="41" t="s">
        <v>135</v>
      </c>
      <c r="F730" s="42" t="s">
        <v>344</v>
      </c>
      <c r="G730" s="41"/>
      <c r="H730" s="43">
        <f>H733+H731</f>
        <v>148.10000000000002</v>
      </c>
    </row>
    <row r="731" spans="1:8" ht="28.9" customHeight="1" x14ac:dyDescent="0.25">
      <c r="A731" s="31"/>
      <c r="B731" s="39" t="s">
        <v>303</v>
      </c>
      <c r="C731" s="40">
        <v>930</v>
      </c>
      <c r="D731" s="41" t="s">
        <v>292</v>
      </c>
      <c r="E731" s="41" t="s">
        <v>135</v>
      </c>
      <c r="F731" s="42" t="s">
        <v>582</v>
      </c>
      <c r="G731" s="41"/>
      <c r="H731" s="43">
        <f>H732</f>
        <v>64.900000000000006</v>
      </c>
    </row>
    <row r="732" spans="1:8" ht="34.5" customHeight="1" x14ac:dyDescent="0.25">
      <c r="A732" s="31"/>
      <c r="B732" s="39" t="s">
        <v>35</v>
      </c>
      <c r="C732" s="40">
        <v>930</v>
      </c>
      <c r="D732" s="41" t="s">
        <v>292</v>
      </c>
      <c r="E732" s="41" t="s">
        <v>135</v>
      </c>
      <c r="F732" s="42" t="s">
        <v>582</v>
      </c>
      <c r="G732" s="41" t="s">
        <v>36</v>
      </c>
      <c r="H732" s="43">
        <f>64.9</f>
        <v>64.900000000000006</v>
      </c>
    </row>
    <row r="733" spans="1:8" ht="75" customHeight="1" x14ac:dyDescent="0.25">
      <c r="A733" s="31"/>
      <c r="B733" s="39" t="s">
        <v>583</v>
      </c>
      <c r="C733" s="40">
        <v>930</v>
      </c>
      <c r="D733" s="41" t="s">
        <v>292</v>
      </c>
      <c r="E733" s="41" t="s">
        <v>135</v>
      </c>
      <c r="F733" s="42" t="s">
        <v>584</v>
      </c>
      <c r="G733" s="41"/>
      <c r="H733" s="43">
        <f>H734</f>
        <v>83.2</v>
      </c>
    </row>
    <row r="734" spans="1:8" ht="34.5" customHeight="1" x14ac:dyDescent="0.25">
      <c r="A734" s="31"/>
      <c r="B734" s="39" t="s">
        <v>35</v>
      </c>
      <c r="C734" s="40">
        <v>930</v>
      </c>
      <c r="D734" s="41" t="s">
        <v>292</v>
      </c>
      <c r="E734" s="41" t="s">
        <v>135</v>
      </c>
      <c r="F734" s="42" t="s">
        <v>584</v>
      </c>
      <c r="G734" s="41" t="s">
        <v>36</v>
      </c>
      <c r="H734" s="43">
        <v>83.2</v>
      </c>
    </row>
    <row r="735" spans="1:8" ht="28.9" customHeight="1" x14ac:dyDescent="0.25">
      <c r="A735" s="31"/>
      <c r="B735" s="39" t="s">
        <v>320</v>
      </c>
      <c r="C735" s="40">
        <v>930</v>
      </c>
      <c r="D735" s="41" t="s">
        <v>143</v>
      </c>
      <c r="E735" s="41" t="s">
        <v>19</v>
      </c>
      <c r="F735" s="42"/>
      <c r="G735" s="41"/>
      <c r="H735" s="43">
        <f>H736+H748</f>
        <v>130672.6</v>
      </c>
    </row>
    <row r="736" spans="1:8" ht="28.9" customHeight="1" x14ac:dyDescent="0.25">
      <c r="A736" s="31"/>
      <c r="B736" s="39" t="s">
        <v>342</v>
      </c>
      <c r="C736" s="40">
        <v>930</v>
      </c>
      <c r="D736" s="41" t="s">
        <v>143</v>
      </c>
      <c r="E736" s="41" t="s">
        <v>48</v>
      </c>
      <c r="F736" s="42"/>
      <c r="G736" s="41"/>
      <c r="H736" s="43">
        <f>H737</f>
        <v>115843.6</v>
      </c>
    </row>
    <row r="737" spans="1:8" ht="28.9" customHeight="1" x14ac:dyDescent="0.25">
      <c r="A737" s="31"/>
      <c r="B737" s="44" t="s">
        <v>297</v>
      </c>
      <c r="C737" s="40">
        <v>930</v>
      </c>
      <c r="D737" s="41" t="s">
        <v>143</v>
      </c>
      <c r="E737" s="41" t="s">
        <v>48</v>
      </c>
      <c r="F737" s="42" t="s">
        <v>298</v>
      </c>
      <c r="G737" s="41"/>
      <c r="H737" s="43">
        <f>H738</f>
        <v>115843.6</v>
      </c>
    </row>
    <row r="738" spans="1:8" ht="37.5" customHeight="1" x14ac:dyDescent="0.25">
      <c r="A738" s="31"/>
      <c r="B738" s="44" t="s">
        <v>355</v>
      </c>
      <c r="C738" s="40">
        <v>930</v>
      </c>
      <c r="D738" s="41" t="s">
        <v>143</v>
      </c>
      <c r="E738" s="41" t="s">
        <v>48</v>
      </c>
      <c r="F738" s="42" t="s">
        <v>300</v>
      </c>
      <c r="G738" s="41"/>
      <c r="H738" s="43">
        <f>H739</f>
        <v>115843.6</v>
      </c>
    </row>
    <row r="739" spans="1:8" ht="28.9" customHeight="1" x14ac:dyDescent="0.25">
      <c r="A739" s="31"/>
      <c r="B739" s="39" t="s">
        <v>356</v>
      </c>
      <c r="C739" s="40">
        <v>930</v>
      </c>
      <c r="D739" s="41" t="s">
        <v>143</v>
      </c>
      <c r="E739" s="41" t="s">
        <v>48</v>
      </c>
      <c r="F739" s="42" t="s">
        <v>344</v>
      </c>
      <c r="G739" s="41"/>
      <c r="H739" s="43">
        <f>H740+H742+H745</f>
        <v>115843.6</v>
      </c>
    </row>
    <row r="740" spans="1:8" ht="28.9" customHeight="1" x14ac:dyDescent="0.25">
      <c r="A740" s="31"/>
      <c r="B740" s="39" t="s">
        <v>26</v>
      </c>
      <c r="C740" s="40">
        <v>930</v>
      </c>
      <c r="D740" s="41" t="s">
        <v>143</v>
      </c>
      <c r="E740" s="41" t="s">
        <v>48</v>
      </c>
      <c r="F740" s="42" t="s">
        <v>585</v>
      </c>
      <c r="G740" s="41"/>
      <c r="H740" s="43">
        <f>H741</f>
        <v>0.3</v>
      </c>
    </row>
    <row r="741" spans="1:8" ht="28.9" customHeight="1" x14ac:dyDescent="0.25">
      <c r="A741" s="31"/>
      <c r="B741" s="39" t="s">
        <v>37</v>
      </c>
      <c r="C741" s="40">
        <v>930</v>
      </c>
      <c r="D741" s="41" t="s">
        <v>143</v>
      </c>
      <c r="E741" s="41" t="s">
        <v>48</v>
      </c>
      <c r="F741" s="42" t="s">
        <v>585</v>
      </c>
      <c r="G741" s="41" t="s">
        <v>38</v>
      </c>
      <c r="H741" s="43">
        <v>0.3</v>
      </c>
    </row>
    <row r="742" spans="1:8" ht="83.25" customHeight="1" x14ac:dyDescent="0.25">
      <c r="A742" s="31"/>
      <c r="B742" s="39" t="s">
        <v>586</v>
      </c>
      <c r="C742" s="40">
        <v>930</v>
      </c>
      <c r="D742" s="41" t="s">
        <v>143</v>
      </c>
      <c r="E742" s="41" t="s">
        <v>48</v>
      </c>
      <c r="F742" s="42" t="s">
        <v>587</v>
      </c>
      <c r="G742" s="41"/>
      <c r="H742" s="43">
        <f>H743+H744</f>
        <v>64338.299999999996</v>
      </c>
    </row>
    <row r="743" spans="1:8" ht="34.5" customHeight="1" x14ac:dyDescent="0.25">
      <c r="A743" s="31"/>
      <c r="B743" s="39" t="s">
        <v>35</v>
      </c>
      <c r="C743" s="40">
        <v>930</v>
      </c>
      <c r="D743" s="41" t="s">
        <v>143</v>
      </c>
      <c r="E743" s="41" t="s">
        <v>48</v>
      </c>
      <c r="F743" s="42" t="s">
        <v>587</v>
      </c>
      <c r="G743" s="41" t="s">
        <v>36</v>
      </c>
      <c r="H743" s="43">
        <f>386.5+228.2+224.9</f>
        <v>839.6</v>
      </c>
    </row>
    <row r="744" spans="1:8" ht="28.9" customHeight="1" x14ac:dyDescent="0.25">
      <c r="A744" s="31"/>
      <c r="B744" s="39" t="s">
        <v>30</v>
      </c>
      <c r="C744" s="40">
        <v>930</v>
      </c>
      <c r="D744" s="41" t="s">
        <v>143</v>
      </c>
      <c r="E744" s="41" t="s">
        <v>48</v>
      </c>
      <c r="F744" s="42" t="s">
        <v>587</v>
      </c>
      <c r="G744" s="41" t="s">
        <v>31</v>
      </c>
      <c r="H744" s="43">
        <f>38652.8+22821.7+2024.2</f>
        <v>63498.7</v>
      </c>
    </row>
    <row r="745" spans="1:8" ht="46.5" customHeight="1" x14ac:dyDescent="0.25">
      <c r="A745" s="31"/>
      <c r="B745" s="39" t="s">
        <v>588</v>
      </c>
      <c r="C745" s="40">
        <v>930</v>
      </c>
      <c r="D745" s="41" t="s">
        <v>143</v>
      </c>
      <c r="E745" s="41" t="s">
        <v>48</v>
      </c>
      <c r="F745" s="42" t="s">
        <v>589</v>
      </c>
      <c r="G745" s="41"/>
      <c r="H745" s="43">
        <f>H747+H746</f>
        <v>51505</v>
      </c>
    </row>
    <row r="746" spans="1:8" ht="33.75" customHeight="1" x14ac:dyDescent="0.25">
      <c r="A746" s="31"/>
      <c r="B746" s="39" t="s">
        <v>35</v>
      </c>
      <c r="C746" s="40">
        <v>930</v>
      </c>
      <c r="D746" s="41" t="s">
        <v>143</v>
      </c>
      <c r="E746" s="41" t="s">
        <v>48</v>
      </c>
      <c r="F746" s="42" t="s">
        <v>589</v>
      </c>
      <c r="G746" s="41" t="s">
        <v>36</v>
      </c>
      <c r="H746" s="43">
        <f>303.8+1</f>
        <v>304.8</v>
      </c>
    </row>
    <row r="747" spans="1:8" ht="21" customHeight="1" x14ac:dyDescent="0.25">
      <c r="A747" s="31"/>
      <c r="B747" s="39" t="s">
        <v>30</v>
      </c>
      <c r="C747" s="40">
        <v>930</v>
      </c>
      <c r="D747" s="41" t="s">
        <v>143</v>
      </c>
      <c r="E747" s="41" t="s">
        <v>48</v>
      </c>
      <c r="F747" s="42" t="s">
        <v>589</v>
      </c>
      <c r="G747" s="41" t="s">
        <v>31</v>
      </c>
      <c r="H747" s="43">
        <f>43393+7807.2</f>
        <v>51200.2</v>
      </c>
    </row>
    <row r="748" spans="1:8" ht="21.75" customHeight="1" x14ac:dyDescent="0.25">
      <c r="A748" s="31"/>
      <c r="B748" s="39" t="s">
        <v>354</v>
      </c>
      <c r="C748" s="40">
        <v>930</v>
      </c>
      <c r="D748" s="41" t="s">
        <v>143</v>
      </c>
      <c r="E748" s="41" t="s">
        <v>287</v>
      </c>
      <c r="F748" s="42"/>
      <c r="G748" s="41"/>
      <c r="H748" s="43">
        <f>H749</f>
        <v>14829</v>
      </c>
    </row>
    <row r="749" spans="1:8" ht="24" customHeight="1" x14ac:dyDescent="0.25">
      <c r="A749" s="31"/>
      <c r="B749" s="44" t="s">
        <v>297</v>
      </c>
      <c r="C749" s="40">
        <v>930</v>
      </c>
      <c r="D749" s="41" t="s">
        <v>143</v>
      </c>
      <c r="E749" s="41" t="s">
        <v>287</v>
      </c>
      <c r="F749" s="42" t="s">
        <v>298</v>
      </c>
      <c r="G749" s="34"/>
      <c r="H749" s="43">
        <f>H751</f>
        <v>14829</v>
      </c>
    </row>
    <row r="750" spans="1:8" ht="32.25" customHeight="1" x14ac:dyDescent="0.25">
      <c r="A750" s="31"/>
      <c r="B750" s="44" t="s">
        <v>355</v>
      </c>
      <c r="C750" s="40">
        <v>930</v>
      </c>
      <c r="D750" s="41" t="s">
        <v>143</v>
      </c>
      <c r="E750" s="41" t="s">
        <v>287</v>
      </c>
      <c r="F750" s="42" t="s">
        <v>300</v>
      </c>
      <c r="G750" s="34"/>
      <c r="H750" s="43">
        <f>H751</f>
        <v>14829</v>
      </c>
    </row>
    <row r="751" spans="1:8" ht="19.5" customHeight="1" x14ac:dyDescent="0.25">
      <c r="A751" s="31"/>
      <c r="B751" s="39" t="s">
        <v>356</v>
      </c>
      <c r="C751" s="40">
        <v>930</v>
      </c>
      <c r="D751" s="41" t="s">
        <v>143</v>
      </c>
      <c r="E751" s="41" t="s">
        <v>287</v>
      </c>
      <c r="F751" s="42" t="s">
        <v>344</v>
      </c>
      <c r="G751" s="34"/>
      <c r="H751" s="43">
        <f>H752+H755+H758</f>
        <v>14829</v>
      </c>
    </row>
    <row r="752" spans="1:8" ht="49.5" customHeight="1" x14ac:dyDescent="0.25">
      <c r="A752" s="31"/>
      <c r="B752" s="39" t="s">
        <v>357</v>
      </c>
      <c r="C752" s="40">
        <v>930</v>
      </c>
      <c r="D752" s="41" t="s">
        <v>143</v>
      </c>
      <c r="E752" s="41" t="s">
        <v>287</v>
      </c>
      <c r="F752" s="42" t="s">
        <v>358</v>
      </c>
      <c r="G752" s="41"/>
      <c r="H752" s="43">
        <f>H753+H754</f>
        <v>11868.5</v>
      </c>
    </row>
    <row r="753" spans="1:8" ht="50.25" customHeight="1" x14ac:dyDescent="0.25">
      <c r="A753" s="31"/>
      <c r="B753" s="44" t="s">
        <v>28</v>
      </c>
      <c r="C753" s="40">
        <v>930</v>
      </c>
      <c r="D753" s="41" t="s">
        <v>143</v>
      </c>
      <c r="E753" s="41" t="s">
        <v>287</v>
      </c>
      <c r="F753" s="42" t="s">
        <v>358</v>
      </c>
      <c r="G753" s="41" t="s">
        <v>29</v>
      </c>
      <c r="H753" s="43">
        <f>8527.1+2575.2</f>
        <v>11102.3</v>
      </c>
    </row>
    <row r="754" spans="1:8" ht="33.75" customHeight="1" x14ac:dyDescent="0.25">
      <c r="A754" s="31"/>
      <c r="B754" s="39" t="s">
        <v>35</v>
      </c>
      <c r="C754" s="40">
        <v>930</v>
      </c>
      <c r="D754" s="41" t="s">
        <v>143</v>
      </c>
      <c r="E754" s="41" t="s">
        <v>287</v>
      </c>
      <c r="F754" s="42" t="s">
        <v>358</v>
      </c>
      <c r="G754" s="41" t="s">
        <v>36</v>
      </c>
      <c r="H754" s="43">
        <f>926.2-160</f>
        <v>766.2</v>
      </c>
    </row>
    <row r="755" spans="1:8" ht="52.5" customHeight="1" x14ac:dyDescent="0.25">
      <c r="A755" s="31"/>
      <c r="B755" s="39" t="s">
        <v>590</v>
      </c>
      <c r="C755" s="40">
        <v>930</v>
      </c>
      <c r="D755" s="41" t="s">
        <v>143</v>
      </c>
      <c r="E755" s="41" t="s">
        <v>287</v>
      </c>
      <c r="F755" s="42" t="s">
        <v>591</v>
      </c>
      <c r="G755" s="41"/>
      <c r="H755" s="43">
        <f>H756+H757</f>
        <v>982.90000000000009</v>
      </c>
    </row>
    <row r="756" spans="1:8" ht="50.25" customHeight="1" x14ac:dyDescent="0.25">
      <c r="A756" s="31"/>
      <c r="B756" s="44" t="s">
        <v>28</v>
      </c>
      <c r="C756" s="40">
        <v>930</v>
      </c>
      <c r="D756" s="41" t="s">
        <v>143</v>
      </c>
      <c r="E756" s="41" t="s">
        <v>287</v>
      </c>
      <c r="F756" s="42" t="s">
        <v>591</v>
      </c>
      <c r="G756" s="41" t="s">
        <v>29</v>
      </c>
      <c r="H756" s="43">
        <f>690.2+208.5</f>
        <v>898.7</v>
      </c>
    </row>
    <row r="757" spans="1:8" ht="31.5" customHeight="1" x14ac:dyDescent="0.25">
      <c r="A757" s="31"/>
      <c r="B757" s="39" t="s">
        <v>35</v>
      </c>
      <c r="C757" s="40">
        <v>930</v>
      </c>
      <c r="D757" s="41" t="s">
        <v>143</v>
      </c>
      <c r="E757" s="41" t="s">
        <v>287</v>
      </c>
      <c r="F757" s="42" t="s">
        <v>591</v>
      </c>
      <c r="G757" s="41" t="s">
        <v>36</v>
      </c>
      <c r="H757" s="43">
        <f>84.2</f>
        <v>84.2</v>
      </c>
    </row>
    <row r="758" spans="1:8" ht="143.25" customHeight="1" x14ac:dyDescent="0.25">
      <c r="A758" s="31"/>
      <c r="B758" s="39" t="s">
        <v>592</v>
      </c>
      <c r="C758" s="40">
        <v>930</v>
      </c>
      <c r="D758" s="41" t="s">
        <v>143</v>
      </c>
      <c r="E758" s="41" t="s">
        <v>287</v>
      </c>
      <c r="F758" s="42" t="s">
        <v>593</v>
      </c>
      <c r="G758" s="41"/>
      <c r="H758" s="43">
        <f>H759+H760</f>
        <v>1977.6</v>
      </c>
    </row>
    <row r="759" spans="1:8" ht="51" customHeight="1" x14ac:dyDescent="0.25">
      <c r="A759" s="31"/>
      <c r="B759" s="44" t="s">
        <v>28</v>
      </c>
      <c r="C759" s="40">
        <v>930</v>
      </c>
      <c r="D759" s="41" t="s">
        <v>143</v>
      </c>
      <c r="E759" s="41" t="s">
        <v>287</v>
      </c>
      <c r="F759" s="42" t="s">
        <v>593</v>
      </c>
      <c r="G759" s="41" t="s">
        <v>29</v>
      </c>
      <c r="H759" s="43">
        <f>1324.9+400.1</f>
        <v>1725</v>
      </c>
    </row>
    <row r="760" spans="1:8" ht="31.7" customHeight="1" x14ac:dyDescent="0.25">
      <c r="A760" s="31"/>
      <c r="B760" s="39" t="s">
        <v>35</v>
      </c>
      <c r="C760" s="40">
        <v>930</v>
      </c>
      <c r="D760" s="41" t="s">
        <v>143</v>
      </c>
      <c r="E760" s="41" t="s">
        <v>287</v>
      </c>
      <c r="F760" s="42" t="s">
        <v>593</v>
      </c>
      <c r="G760" s="41" t="s">
        <v>36</v>
      </c>
      <c r="H760" s="43">
        <f>252.6</f>
        <v>252.6</v>
      </c>
    </row>
    <row r="761" spans="1:8" ht="31.7" customHeight="1" x14ac:dyDescent="0.25">
      <c r="A761" s="31">
        <v>9</v>
      </c>
      <c r="B761" s="32" t="s">
        <v>594</v>
      </c>
      <c r="C761" s="33">
        <v>934</v>
      </c>
      <c r="D761" s="34"/>
      <c r="E761" s="34"/>
      <c r="F761" s="42"/>
      <c r="G761" s="34"/>
      <c r="H761" s="36">
        <f>H762</f>
        <v>38118.799999999996</v>
      </c>
    </row>
    <row r="762" spans="1:8" ht="31.7" customHeight="1" x14ac:dyDescent="0.25">
      <c r="A762" s="31"/>
      <c r="B762" s="39" t="s">
        <v>291</v>
      </c>
      <c r="C762" s="40">
        <v>934</v>
      </c>
      <c r="D762" s="41" t="s">
        <v>292</v>
      </c>
      <c r="E762" s="41" t="s">
        <v>19</v>
      </c>
      <c r="F762" s="42"/>
      <c r="G762" s="41"/>
      <c r="H762" s="43">
        <f>H763+H790</f>
        <v>38118.799999999996</v>
      </c>
    </row>
    <row r="763" spans="1:8" ht="31.7" customHeight="1" x14ac:dyDescent="0.25">
      <c r="A763" s="31"/>
      <c r="B763" s="39" t="s">
        <v>595</v>
      </c>
      <c r="C763" s="40">
        <v>934</v>
      </c>
      <c r="D763" s="41" t="s">
        <v>292</v>
      </c>
      <c r="E763" s="41" t="s">
        <v>292</v>
      </c>
      <c r="F763" s="42"/>
      <c r="G763" s="41"/>
      <c r="H763" s="43">
        <f>H764+H769</f>
        <v>31733.799999999996</v>
      </c>
    </row>
    <row r="764" spans="1:8" ht="31.7" customHeight="1" x14ac:dyDescent="0.25">
      <c r="A764" s="31"/>
      <c r="B764" s="39" t="s">
        <v>297</v>
      </c>
      <c r="C764" s="40">
        <v>934</v>
      </c>
      <c r="D764" s="41" t="s">
        <v>292</v>
      </c>
      <c r="E764" s="41" t="s">
        <v>292</v>
      </c>
      <c r="F764" s="42" t="s">
        <v>298</v>
      </c>
      <c r="G764" s="41"/>
      <c r="H764" s="43">
        <f>H766</f>
        <v>40</v>
      </c>
    </row>
    <row r="765" spans="1:8" ht="31.7" customHeight="1" x14ac:dyDescent="0.25">
      <c r="A765" s="31"/>
      <c r="B765" s="44" t="s">
        <v>355</v>
      </c>
      <c r="C765" s="40">
        <v>934</v>
      </c>
      <c r="D765" s="41" t="s">
        <v>292</v>
      </c>
      <c r="E765" s="41" t="s">
        <v>292</v>
      </c>
      <c r="F765" s="42" t="s">
        <v>300</v>
      </c>
      <c r="G765" s="41"/>
      <c r="H765" s="43">
        <f>H766</f>
        <v>40</v>
      </c>
    </row>
    <row r="766" spans="1:8" ht="25.5" customHeight="1" x14ac:dyDescent="0.25">
      <c r="A766" s="31"/>
      <c r="B766" s="39" t="s">
        <v>301</v>
      </c>
      <c r="C766" s="40">
        <v>934</v>
      </c>
      <c r="D766" s="41" t="s">
        <v>292</v>
      </c>
      <c r="E766" s="41" t="s">
        <v>292</v>
      </c>
      <c r="F766" s="42" t="s">
        <v>302</v>
      </c>
      <c r="G766" s="41"/>
      <c r="H766" s="43">
        <f>H767</f>
        <v>40</v>
      </c>
    </row>
    <row r="767" spans="1:8" ht="21.95" customHeight="1" x14ac:dyDescent="0.25">
      <c r="A767" s="31"/>
      <c r="B767" s="44" t="s">
        <v>303</v>
      </c>
      <c r="C767" s="40">
        <v>934</v>
      </c>
      <c r="D767" s="41" t="s">
        <v>292</v>
      </c>
      <c r="E767" s="41" t="s">
        <v>292</v>
      </c>
      <c r="F767" s="42" t="s">
        <v>304</v>
      </c>
      <c r="G767" s="41"/>
      <c r="H767" s="43">
        <f>H768</f>
        <v>40</v>
      </c>
    </row>
    <row r="768" spans="1:8" ht="37.700000000000003" customHeight="1" x14ac:dyDescent="0.25">
      <c r="A768" s="31"/>
      <c r="B768" s="39" t="s">
        <v>35</v>
      </c>
      <c r="C768" s="40">
        <v>934</v>
      </c>
      <c r="D768" s="41" t="s">
        <v>292</v>
      </c>
      <c r="E768" s="41" t="s">
        <v>292</v>
      </c>
      <c r="F768" s="42" t="s">
        <v>304</v>
      </c>
      <c r="G768" s="41" t="s">
        <v>36</v>
      </c>
      <c r="H768" s="43">
        <v>40</v>
      </c>
    </row>
    <row r="769" spans="1:8" ht="25.5" customHeight="1" x14ac:dyDescent="0.25">
      <c r="A769" s="31"/>
      <c r="B769" s="39" t="s">
        <v>596</v>
      </c>
      <c r="C769" s="40">
        <v>934</v>
      </c>
      <c r="D769" s="41" t="s">
        <v>292</v>
      </c>
      <c r="E769" s="41" t="s">
        <v>292</v>
      </c>
      <c r="F769" s="42" t="s">
        <v>597</v>
      </c>
      <c r="G769" s="41"/>
      <c r="H769" s="43">
        <f>H770</f>
        <v>31693.799999999996</v>
      </c>
    </row>
    <row r="770" spans="1:8" ht="27.2" customHeight="1" x14ac:dyDescent="0.25">
      <c r="A770" s="31"/>
      <c r="B770" s="39" t="s">
        <v>598</v>
      </c>
      <c r="C770" s="40">
        <v>934</v>
      </c>
      <c r="D770" s="41" t="s">
        <v>292</v>
      </c>
      <c r="E770" s="41" t="s">
        <v>292</v>
      </c>
      <c r="F770" s="42" t="s">
        <v>599</v>
      </c>
      <c r="G770" s="41"/>
      <c r="H770" s="43">
        <f>H771+H775+H779+H782+H785</f>
        <v>31693.799999999996</v>
      </c>
    </row>
    <row r="771" spans="1:8" ht="36" customHeight="1" x14ac:dyDescent="0.25">
      <c r="A771" s="31"/>
      <c r="B771" s="39" t="s">
        <v>600</v>
      </c>
      <c r="C771" s="40">
        <v>934</v>
      </c>
      <c r="D771" s="41" t="s">
        <v>292</v>
      </c>
      <c r="E771" s="41" t="s">
        <v>292</v>
      </c>
      <c r="F771" s="42" t="s">
        <v>601</v>
      </c>
      <c r="G771" s="41"/>
      <c r="H771" s="43">
        <f>H772</f>
        <v>1179.3</v>
      </c>
    </row>
    <row r="772" spans="1:8" ht="25.5" customHeight="1" x14ac:dyDescent="0.25">
      <c r="A772" s="31"/>
      <c r="B772" s="39" t="s">
        <v>602</v>
      </c>
      <c r="C772" s="40">
        <v>934</v>
      </c>
      <c r="D772" s="41" t="s">
        <v>292</v>
      </c>
      <c r="E772" s="41" t="s">
        <v>292</v>
      </c>
      <c r="F772" s="42" t="s">
        <v>603</v>
      </c>
      <c r="G772" s="41"/>
      <c r="H772" s="43">
        <f>H774+H773</f>
        <v>1179.3</v>
      </c>
    </row>
    <row r="773" spans="1:8" ht="51.75" customHeight="1" x14ac:dyDescent="0.25">
      <c r="A773" s="31"/>
      <c r="B773" s="39" t="s">
        <v>28</v>
      </c>
      <c r="C773" s="40">
        <v>934</v>
      </c>
      <c r="D773" s="41" t="s">
        <v>292</v>
      </c>
      <c r="E773" s="41" t="s">
        <v>292</v>
      </c>
      <c r="F773" s="42" t="s">
        <v>603</v>
      </c>
      <c r="G773" s="41" t="s">
        <v>29</v>
      </c>
      <c r="H773" s="43">
        <f>8</f>
        <v>8</v>
      </c>
    </row>
    <row r="774" spans="1:8" ht="31.7" customHeight="1" x14ac:dyDescent="0.25">
      <c r="A774" s="31"/>
      <c r="B774" s="39" t="s">
        <v>35</v>
      </c>
      <c r="C774" s="40">
        <v>934</v>
      </c>
      <c r="D774" s="41" t="s">
        <v>292</v>
      </c>
      <c r="E774" s="41" t="s">
        <v>292</v>
      </c>
      <c r="F774" s="42" t="s">
        <v>603</v>
      </c>
      <c r="G774" s="41" t="s">
        <v>36</v>
      </c>
      <c r="H774" s="43">
        <f>1171.3</f>
        <v>1171.3</v>
      </c>
    </row>
    <row r="775" spans="1:8" ht="44.85" customHeight="1" x14ac:dyDescent="0.25">
      <c r="A775" s="31"/>
      <c r="B775" s="46" t="s">
        <v>604</v>
      </c>
      <c r="C775" s="40">
        <v>934</v>
      </c>
      <c r="D775" s="41" t="s">
        <v>292</v>
      </c>
      <c r="E775" s="41" t="s">
        <v>292</v>
      </c>
      <c r="F775" s="42" t="s">
        <v>605</v>
      </c>
      <c r="G775" s="41"/>
      <c r="H775" s="43">
        <f>H776</f>
        <v>9567.4</v>
      </c>
    </row>
    <row r="776" spans="1:8" ht="19.350000000000001" customHeight="1" x14ac:dyDescent="0.25">
      <c r="A776" s="31"/>
      <c r="B776" s="39" t="s">
        <v>602</v>
      </c>
      <c r="C776" s="40">
        <v>934</v>
      </c>
      <c r="D776" s="41" t="s">
        <v>292</v>
      </c>
      <c r="E776" s="41" t="s">
        <v>292</v>
      </c>
      <c r="F776" s="42" t="s">
        <v>606</v>
      </c>
      <c r="G776" s="41"/>
      <c r="H776" s="43">
        <f>H778+H777</f>
        <v>9567.4</v>
      </c>
    </row>
    <row r="777" spans="1:8" ht="49.5" customHeight="1" x14ac:dyDescent="0.25">
      <c r="A777" s="31"/>
      <c r="B777" s="39" t="s">
        <v>28</v>
      </c>
      <c r="C777" s="40">
        <v>934</v>
      </c>
      <c r="D777" s="41" t="s">
        <v>292</v>
      </c>
      <c r="E777" s="41" t="s">
        <v>292</v>
      </c>
      <c r="F777" s="42" t="s">
        <v>606</v>
      </c>
      <c r="G777" s="41" t="s">
        <v>29</v>
      </c>
      <c r="H777" s="43">
        <f>32.4</f>
        <v>32.4</v>
      </c>
    </row>
    <row r="778" spans="1:8" ht="40.35" customHeight="1" x14ac:dyDescent="0.25">
      <c r="A778" s="31"/>
      <c r="B778" s="39" t="s">
        <v>35</v>
      </c>
      <c r="C778" s="40">
        <v>934</v>
      </c>
      <c r="D778" s="41" t="s">
        <v>292</v>
      </c>
      <c r="E778" s="41" t="s">
        <v>292</v>
      </c>
      <c r="F778" s="42" t="s">
        <v>606</v>
      </c>
      <c r="G778" s="41" t="s">
        <v>36</v>
      </c>
      <c r="H778" s="43">
        <f>9535</f>
        <v>9535</v>
      </c>
    </row>
    <row r="779" spans="1:8" ht="51" customHeight="1" x14ac:dyDescent="0.25">
      <c r="A779" s="31"/>
      <c r="B779" s="46" t="s">
        <v>607</v>
      </c>
      <c r="C779" s="40">
        <v>934</v>
      </c>
      <c r="D779" s="41" t="s">
        <v>292</v>
      </c>
      <c r="E779" s="41" t="s">
        <v>292</v>
      </c>
      <c r="F779" s="42" t="s">
        <v>608</v>
      </c>
      <c r="G779" s="41"/>
      <c r="H779" s="43">
        <f>H780</f>
        <v>608.79999999999995</v>
      </c>
    </row>
    <row r="780" spans="1:8" ht="18" customHeight="1" x14ac:dyDescent="0.25">
      <c r="A780" s="31"/>
      <c r="B780" s="39" t="s">
        <v>602</v>
      </c>
      <c r="C780" s="40">
        <v>934</v>
      </c>
      <c r="D780" s="41" t="s">
        <v>292</v>
      </c>
      <c r="E780" s="41" t="s">
        <v>292</v>
      </c>
      <c r="F780" s="42" t="s">
        <v>609</v>
      </c>
      <c r="G780" s="41"/>
      <c r="H780" s="43">
        <f>H781</f>
        <v>608.79999999999995</v>
      </c>
    </row>
    <row r="781" spans="1:8" ht="30" customHeight="1" x14ac:dyDescent="0.25">
      <c r="A781" s="31"/>
      <c r="B781" s="39" t="s">
        <v>35</v>
      </c>
      <c r="C781" s="40">
        <v>934</v>
      </c>
      <c r="D781" s="41" t="s">
        <v>292</v>
      </c>
      <c r="E781" s="41" t="s">
        <v>292</v>
      </c>
      <c r="F781" s="42" t="s">
        <v>609</v>
      </c>
      <c r="G781" s="41" t="s">
        <v>36</v>
      </c>
      <c r="H781" s="43">
        <f>275+333.8</f>
        <v>608.79999999999995</v>
      </c>
    </row>
    <row r="782" spans="1:8" ht="35.25" customHeight="1" x14ac:dyDescent="0.25">
      <c r="A782" s="31"/>
      <c r="B782" s="46" t="s">
        <v>610</v>
      </c>
      <c r="C782" s="40">
        <v>934</v>
      </c>
      <c r="D782" s="41" t="s">
        <v>292</v>
      </c>
      <c r="E782" s="41" t="s">
        <v>292</v>
      </c>
      <c r="F782" s="42" t="s">
        <v>611</v>
      </c>
      <c r="G782" s="41"/>
      <c r="H782" s="43">
        <f>H783</f>
        <v>50</v>
      </c>
    </row>
    <row r="783" spans="1:8" ht="18.75" customHeight="1" x14ac:dyDescent="0.25">
      <c r="A783" s="31"/>
      <c r="B783" s="39" t="s">
        <v>602</v>
      </c>
      <c r="C783" s="40">
        <v>934</v>
      </c>
      <c r="D783" s="41" t="s">
        <v>292</v>
      </c>
      <c r="E783" s="41" t="s">
        <v>292</v>
      </c>
      <c r="F783" s="42" t="s">
        <v>612</v>
      </c>
      <c r="G783" s="41"/>
      <c r="H783" s="43">
        <f>H784</f>
        <v>50</v>
      </c>
    </row>
    <row r="784" spans="1:8" ht="32.25" customHeight="1" x14ac:dyDescent="0.25">
      <c r="A784" s="31"/>
      <c r="B784" s="39" t="s">
        <v>35</v>
      </c>
      <c r="C784" s="40">
        <v>934</v>
      </c>
      <c r="D784" s="41" t="s">
        <v>292</v>
      </c>
      <c r="E784" s="41" t="s">
        <v>292</v>
      </c>
      <c r="F784" s="42" t="s">
        <v>612</v>
      </c>
      <c r="G784" s="41" t="s">
        <v>36</v>
      </c>
      <c r="H784" s="43">
        <f>50</f>
        <v>50</v>
      </c>
    </row>
    <row r="785" spans="1:8" ht="30.75" customHeight="1" x14ac:dyDescent="0.25">
      <c r="A785" s="31"/>
      <c r="B785" s="39" t="s">
        <v>613</v>
      </c>
      <c r="C785" s="40">
        <v>934</v>
      </c>
      <c r="D785" s="41" t="s">
        <v>292</v>
      </c>
      <c r="E785" s="41" t="s">
        <v>292</v>
      </c>
      <c r="F785" s="42" t="s">
        <v>614</v>
      </c>
      <c r="G785" s="41"/>
      <c r="H785" s="43">
        <f>H786</f>
        <v>20288.3</v>
      </c>
    </row>
    <row r="786" spans="1:8" ht="33" customHeight="1" x14ac:dyDescent="0.25">
      <c r="A786" s="31"/>
      <c r="B786" s="39" t="s">
        <v>103</v>
      </c>
      <c r="C786" s="40">
        <v>934</v>
      </c>
      <c r="D786" s="41" t="s">
        <v>292</v>
      </c>
      <c r="E786" s="41" t="s">
        <v>292</v>
      </c>
      <c r="F786" s="42" t="s">
        <v>615</v>
      </c>
      <c r="G786" s="41"/>
      <c r="H786" s="43">
        <f>H787+H788+H789</f>
        <v>20288.3</v>
      </c>
    </row>
    <row r="787" spans="1:8" ht="50.25" customHeight="1" x14ac:dyDescent="0.25">
      <c r="A787" s="31"/>
      <c r="B787" s="39" t="s">
        <v>28</v>
      </c>
      <c r="C787" s="40">
        <v>934</v>
      </c>
      <c r="D787" s="41" t="s">
        <v>292</v>
      </c>
      <c r="E787" s="41" t="s">
        <v>292</v>
      </c>
      <c r="F787" s="42" t="s">
        <v>615</v>
      </c>
      <c r="G787" s="41" t="s">
        <v>29</v>
      </c>
      <c r="H787" s="43">
        <f>15622.6+30.5+2682.4</f>
        <v>18335.5</v>
      </c>
    </row>
    <row r="788" spans="1:8" ht="36.950000000000003" customHeight="1" x14ac:dyDescent="0.25">
      <c r="A788" s="31"/>
      <c r="B788" s="39" t="s">
        <v>35</v>
      </c>
      <c r="C788" s="40">
        <v>934</v>
      </c>
      <c r="D788" s="41" t="s">
        <v>292</v>
      </c>
      <c r="E788" s="41" t="s">
        <v>292</v>
      </c>
      <c r="F788" s="42" t="s">
        <v>615</v>
      </c>
      <c r="G788" s="41" t="s">
        <v>36</v>
      </c>
      <c r="H788" s="43">
        <f>57.1+374.5+1052.5+460-5</f>
        <v>1939.1</v>
      </c>
    </row>
    <row r="789" spans="1:8" ht="28.15" customHeight="1" x14ac:dyDescent="0.25">
      <c r="A789" s="31"/>
      <c r="B789" s="39" t="s">
        <v>37</v>
      </c>
      <c r="C789" s="40">
        <v>934</v>
      </c>
      <c r="D789" s="41" t="s">
        <v>292</v>
      </c>
      <c r="E789" s="41" t="s">
        <v>292</v>
      </c>
      <c r="F789" s="42" t="s">
        <v>615</v>
      </c>
      <c r="G789" s="41" t="s">
        <v>38</v>
      </c>
      <c r="H789" s="43">
        <f>8.7+5</f>
        <v>13.7</v>
      </c>
    </row>
    <row r="790" spans="1:8" ht="24.6" customHeight="1" x14ac:dyDescent="0.25">
      <c r="A790" s="31"/>
      <c r="B790" s="39" t="s">
        <v>296</v>
      </c>
      <c r="C790" s="40">
        <v>934</v>
      </c>
      <c r="D790" s="41" t="s">
        <v>292</v>
      </c>
      <c r="E790" s="41" t="s">
        <v>135</v>
      </c>
      <c r="F790" s="42"/>
      <c r="G790" s="41"/>
      <c r="H790" s="43">
        <f>H791</f>
        <v>6385</v>
      </c>
    </row>
    <row r="791" spans="1:8" ht="22.9" customHeight="1" x14ac:dyDescent="0.25">
      <c r="A791" s="31"/>
      <c r="B791" s="39" t="s">
        <v>596</v>
      </c>
      <c r="C791" s="40">
        <v>934</v>
      </c>
      <c r="D791" s="41" t="s">
        <v>292</v>
      </c>
      <c r="E791" s="41" t="s">
        <v>135</v>
      </c>
      <c r="F791" s="42" t="s">
        <v>597</v>
      </c>
      <c r="G791" s="41"/>
      <c r="H791" s="43">
        <f>H792</f>
        <v>6385</v>
      </c>
    </row>
    <row r="792" spans="1:8" ht="25.5" customHeight="1" x14ac:dyDescent="0.25">
      <c r="A792" s="31"/>
      <c r="B792" s="39" t="s">
        <v>598</v>
      </c>
      <c r="C792" s="40">
        <v>934</v>
      </c>
      <c r="D792" s="41" t="s">
        <v>292</v>
      </c>
      <c r="E792" s="41" t="s">
        <v>135</v>
      </c>
      <c r="F792" s="42" t="s">
        <v>599</v>
      </c>
      <c r="G792" s="41"/>
      <c r="H792" s="43">
        <f>H793</f>
        <v>6385</v>
      </c>
    </row>
    <row r="793" spans="1:8" ht="30.75" customHeight="1" x14ac:dyDescent="0.25">
      <c r="A793" s="31"/>
      <c r="B793" s="39" t="s">
        <v>613</v>
      </c>
      <c r="C793" s="40">
        <v>934</v>
      </c>
      <c r="D793" s="41" t="s">
        <v>292</v>
      </c>
      <c r="E793" s="41" t="s">
        <v>135</v>
      </c>
      <c r="F793" s="42" t="s">
        <v>614</v>
      </c>
      <c r="G793" s="41"/>
      <c r="H793" s="43">
        <f>H794</f>
        <v>6385</v>
      </c>
    </row>
    <row r="794" spans="1:8" ht="27.2" customHeight="1" x14ac:dyDescent="0.25">
      <c r="A794" s="31"/>
      <c r="B794" s="39" t="s">
        <v>26</v>
      </c>
      <c r="C794" s="40">
        <v>934</v>
      </c>
      <c r="D794" s="41" t="s">
        <v>292</v>
      </c>
      <c r="E794" s="41" t="s">
        <v>135</v>
      </c>
      <c r="F794" s="42" t="s">
        <v>616</v>
      </c>
      <c r="G794" s="41"/>
      <c r="H794" s="43">
        <f>H795+H796+H797</f>
        <v>6385</v>
      </c>
    </row>
    <row r="795" spans="1:8" ht="50.25" customHeight="1" x14ac:dyDescent="0.25">
      <c r="A795" s="31"/>
      <c r="B795" s="39" t="s">
        <v>28</v>
      </c>
      <c r="C795" s="40">
        <v>934</v>
      </c>
      <c r="D795" s="41" t="s">
        <v>292</v>
      </c>
      <c r="E795" s="41" t="s">
        <v>135</v>
      </c>
      <c r="F795" s="42" t="s">
        <v>616</v>
      </c>
      <c r="G795" s="41" t="s">
        <v>29</v>
      </c>
      <c r="H795" s="43">
        <f>3396.1+68.8+1471.6</f>
        <v>4936.5</v>
      </c>
    </row>
    <row r="796" spans="1:8" ht="31.7" customHeight="1" x14ac:dyDescent="0.25">
      <c r="A796" s="31"/>
      <c r="B796" s="39" t="s">
        <v>35</v>
      </c>
      <c r="C796" s="40">
        <v>934</v>
      </c>
      <c r="D796" s="41" t="s">
        <v>292</v>
      </c>
      <c r="E796" s="41" t="s">
        <v>135</v>
      </c>
      <c r="F796" s="42" t="s">
        <v>616</v>
      </c>
      <c r="G796" s="41" t="s">
        <v>36</v>
      </c>
      <c r="H796" s="43">
        <f>207+369.2+850</f>
        <v>1426.2</v>
      </c>
    </row>
    <row r="797" spans="1:8" ht="19.350000000000001" customHeight="1" x14ac:dyDescent="0.25">
      <c r="A797" s="31"/>
      <c r="B797" s="39" t="s">
        <v>37</v>
      </c>
      <c r="C797" s="40">
        <v>934</v>
      </c>
      <c r="D797" s="41" t="s">
        <v>292</v>
      </c>
      <c r="E797" s="41" t="s">
        <v>135</v>
      </c>
      <c r="F797" s="42" t="s">
        <v>616</v>
      </c>
      <c r="G797" s="41" t="s">
        <v>38</v>
      </c>
      <c r="H797" s="43">
        <f>22.3</f>
        <v>22.3</v>
      </c>
    </row>
    <row r="798" spans="1:8" ht="21.4" customHeight="1" x14ac:dyDescent="0.25">
      <c r="H798" s="68" t="s">
        <v>617</v>
      </c>
    </row>
    <row r="799" spans="1:8" ht="14.85" customHeight="1" x14ac:dyDescent="0.3">
      <c r="B799" s="69"/>
      <c r="C799" s="23"/>
      <c r="D799" s="23"/>
      <c r="E799" s="23"/>
      <c r="F799" s="2"/>
      <c r="G799" s="2"/>
      <c r="H799" s="2"/>
    </row>
    <row r="800" spans="1:8" ht="22.9" customHeight="1" x14ac:dyDescent="0.25"/>
    <row r="801" spans="1:257" s="73" customFormat="1" ht="31.7" customHeight="1" x14ac:dyDescent="0.3">
      <c r="A801" s="19"/>
      <c r="B801" s="70"/>
      <c r="C801" s="24"/>
      <c r="D801" s="71"/>
      <c r="E801" s="71"/>
      <c r="F801" s="72"/>
      <c r="G801" s="1"/>
      <c r="H801" s="1"/>
      <c r="I801" s="23"/>
      <c r="J801" s="23"/>
      <c r="K801" s="23"/>
      <c r="L801" s="23"/>
      <c r="M801" s="23"/>
      <c r="N801" s="23"/>
      <c r="O801" s="23"/>
      <c r="P801" s="23"/>
      <c r="Q801" s="23"/>
      <c r="R801" s="23"/>
      <c r="S801" s="23"/>
      <c r="T801" s="23"/>
      <c r="U801" s="23"/>
      <c r="V801" s="23"/>
      <c r="W801" s="23"/>
      <c r="X801" s="23"/>
      <c r="Y801" s="23"/>
      <c r="Z801" s="23"/>
      <c r="AA801" s="23"/>
      <c r="AB801" s="23"/>
      <c r="AC801" s="23"/>
      <c r="AD801" s="23"/>
      <c r="AE801" s="23"/>
      <c r="AF801" s="23"/>
      <c r="AG801" s="23"/>
      <c r="AH801" s="23"/>
      <c r="AI801" s="23"/>
      <c r="AJ801" s="23"/>
      <c r="AK801" s="23"/>
      <c r="AL801" s="23"/>
      <c r="AM801" s="23"/>
      <c r="AN801" s="23"/>
      <c r="AO801" s="23"/>
      <c r="AP801" s="23"/>
      <c r="AQ801" s="23"/>
      <c r="AR801" s="23"/>
      <c r="AS801" s="23"/>
      <c r="AT801" s="23"/>
      <c r="AU801" s="23"/>
      <c r="AV801" s="23"/>
      <c r="AW801" s="23"/>
      <c r="AX801" s="23"/>
      <c r="AY801" s="23"/>
      <c r="AZ801" s="23"/>
      <c r="BA801" s="23"/>
      <c r="BB801" s="23"/>
      <c r="BC801" s="23"/>
      <c r="BD801" s="23"/>
      <c r="BE801" s="23"/>
      <c r="BF801" s="23"/>
      <c r="BG801" s="23"/>
      <c r="BH801" s="23"/>
      <c r="BI801" s="23"/>
      <c r="BJ801" s="23"/>
      <c r="BK801" s="23"/>
      <c r="BL801" s="23"/>
      <c r="BM801" s="23"/>
      <c r="BN801" s="23"/>
      <c r="BO801" s="23"/>
      <c r="BP801" s="23"/>
      <c r="BQ801" s="23"/>
      <c r="BR801" s="23"/>
      <c r="BS801" s="23"/>
      <c r="BT801" s="23"/>
      <c r="BU801" s="23"/>
      <c r="BV801" s="23"/>
      <c r="BW801" s="23"/>
      <c r="BX801" s="23"/>
      <c r="BY801" s="23"/>
      <c r="BZ801" s="23"/>
      <c r="CA801" s="23"/>
      <c r="CB801" s="23"/>
      <c r="CC801" s="23"/>
      <c r="CD801" s="23"/>
      <c r="CE801" s="23"/>
      <c r="CF801" s="23"/>
      <c r="CG801" s="23"/>
      <c r="CH801" s="23"/>
      <c r="CI801" s="23"/>
      <c r="CJ801" s="23"/>
      <c r="CK801" s="23"/>
      <c r="CL801" s="23"/>
      <c r="CM801" s="23"/>
      <c r="CN801" s="23"/>
      <c r="CO801" s="23"/>
      <c r="CP801" s="23"/>
      <c r="CQ801" s="23"/>
      <c r="CR801" s="23"/>
      <c r="CS801" s="23"/>
      <c r="CT801" s="23"/>
      <c r="CU801" s="23"/>
      <c r="CV801" s="23"/>
      <c r="CW801" s="23"/>
      <c r="CX801" s="23"/>
      <c r="CY801" s="23"/>
      <c r="CZ801" s="23"/>
      <c r="DA801" s="23"/>
      <c r="DB801" s="23"/>
      <c r="DC801" s="23"/>
      <c r="DD801" s="23"/>
      <c r="DE801" s="23"/>
      <c r="DF801" s="23"/>
      <c r="DG801" s="23"/>
      <c r="DH801" s="23"/>
      <c r="DI801" s="23"/>
      <c r="DJ801" s="23"/>
      <c r="DK801" s="23"/>
      <c r="DL801" s="23"/>
      <c r="DM801" s="23"/>
      <c r="DN801" s="23"/>
      <c r="DO801" s="23"/>
      <c r="DP801" s="23"/>
      <c r="DQ801" s="23"/>
      <c r="DR801" s="23"/>
      <c r="DS801" s="23"/>
      <c r="DT801" s="23"/>
      <c r="DU801" s="23"/>
      <c r="DV801" s="23"/>
      <c r="DW801" s="23"/>
      <c r="DX801" s="23"/>
      <c r="DY801" s="23"/>
      <c r="DZ801" s="23"/>
      <c r="EA801" s="23"/>
      <c r="EB801" s="23"/>
      <c r="EC801" s="23"/>
      <c r="ED801" s="23"/>
      <c r="EE801" s="23"/>
      <c r="EF801" s="23"/>
      <c r="EG801" s="23"/>
      <c r="EH801" s="23"/>
      <c r="EI801" s="23"/>
      <c r="EJ801" s="23"/>
      <c r="EK801" s="23"/>
      <c r="EL801" s="23"/>
      <c r="EM801" s="23"/>
      <c r="EN801" s="23"/>
      <c r="EO801" s="23"/>
      <c r="EP801" s="23"/>
      <c r="EQ801" s="23"/>
      <c r="ER801" s="23"/>
      <c r="ES801" s="23"/>
      <c r="ET801" s="23"/>
      <c r="EU801" s="23"/>
      <c r="EV801" s="23"/>
      <c r="EW801" s="23"/>
      <c r="EX801" s="23"/>
      <c r="EY801" s="23"/>
      <c r="EZ801" s="23"/>
      <c r="FA801" s="23"/>
      <c r="FB801" s="23"/>
      <c r="FC801" s="23"/>
      <c r="FD801" s="23"/>
      <c r="FE801" s="23"/>
      <c r="FF801" s="23"/>
      <c r="FG801" s="23"/>
      <c r="FH801" s="23"/>
      <c r="FI801" s="23"/>
      <c r="FJ801" s="23"/>
      <c r="FK801" s="23"/>
      <c r="FL801" s="23"/>
      <c r="FM801" s="23"/>
      <c r="FN801" s="23"/>
      <c r="FO801" s="23"/>
      <c r="FP801" s="23"/>
      <c r="FQ801" s="23"/>
      <c r="FR801" s="23"/>
      <c r="FS801" s="23"/>
      <c r="FT801" s="23"/>
      <c r="FU801" s="23"/>
      <c r="FV801" s="23"/>
      <c r="FW801" s="23"/>
      <c r="FX801" s="23"/>
      <c r="FY801" s="23"/>
      <c r="FZ801" s="23"/>
      <c r="GA801" s="23"/>
      <c r="GB801" s="23"/>
      <c r="GC801" s="23"/>
      <c r="GD801" s="23"/>
      <c r="GE801" s="23"/>
      <c r="GF801" s="23"/>
      <c r="GG801" s="23"/>
      <c r="GH801" s="23"/>
      <c r="GI801" s="23"/>
      <c r="GJ801" s="23"/>
      <c r="GK801" s="23"/>
      <c r="GL801" s="23"/>
      <c r="GM801" s="23"/>
      <c r="GN801" s="23"/>
      <c r="GO801" s="23"/>
      <c r="GP801" s="23"/>
      <c r="GQ801" s="23"/>
      <c r="GR801" s="23"/>
      <c r="GS801" s="23"/>
      <c r="GT801" s="23"/>
      <c r="GU801" s="23"/>
      <c r="GV801" s="23"/>
      <c r="GW801" s="23"/>
      <c r="GX801" s="23"/>
      <c r="GY801" s="23"/>
      <c r="GZ801" s="23"/>
      <c r="HA801" s="23"/>
      <c r="HB801" s="23"/>
      <c r="HC801" s="23"/>
      <c r="HD801" s="23"/>
      <c r="HE801" s="23"/>
      <c r="HF801" s="23"/>
      <c r="HG801" s="23"/>
      <c r="HH801" s="23"/>
      <c r="HI801" s="23"/>
      <c r="HJ801" s="23"/>
      <c r="HK801" s="23"/>
      <c r="HL801" s="23"/>
      <c r="HM801" s="23"/>
      <c r="HN801" s="23"/>
      <c r="HO801" s="23"/>
      <c r="HP801" s="23"/>
      <c r="HQ801" s="23"/>
      <c r="HR801" s="23"/>
      <c r="HS801" s="23"/>
      <c r="HT801" s="23"/>
      <c r="HU801" s="23"/>
      <c r="HV801" s="23"/>
      <c r="HW801" s="23"/>
      <c r="HX801" s="23"/>
      <c r="HY801" s="23"/>
      <c r="HZ801" s="23"/>
      <c r="IA801" s="23"/>
      <c r="IB801" s="23"/>
      <c r="IC801" s="23"/>
      <c r="ID801" s="23"/>
      <c r="IE801" s="23"/>
      <c r="IF801" s="23"/>
      <c r="IG801" s="23"/>
      <c r="IH801" s="23"/>
      <c r="II801" s="23"/>
      <c r="IJ801" s="23"/>
      <c r="IK801" s="23"/>
      <c r="IL801" s="23"/>
      <c r="IM801" s="23"/>
      <c r="IN801" s="23"/>
      <c r="IO801" s="23"/>
      <c r="IP801" s="23"/>
      <c r="IQ801" s="23"/>
      <c r="IR801" s="23"/>
      <c r="IS801" s="23"/>
      <c r="IT801" s="23"/>
      <c r="IU801" s="23"/>
      <c r="IV801" s="23"/>
      <c r="IW801" s="23"/>
    </row>
    <row r="65524" ht="12.75" customHeight="1" x14ac:dyDescent="0.25"/>
    <row r="65525" ht="12.75" customHeight="1" x14ac:dyDescent="0.25"/>
    <row r="65526" ht="12.75" customHeight="1" x14ac:dyDescent="0.25"/>
    <row r="65527" ht="12.75" customHeight="1" x14ac:dyDescent="0.25"/>
    <row r="65528" ht="12.75" customHeight="1" x14ac:dyDescent="0.25"/>
    <row r="65529" ht="12.75" customHeight="1" x14ac:dyDescent="0.25"/>
    <row r="65530" ht="12.75" customHeight="1" x14ac:dyDescent="0.25"/>
    <row r="65531" ht="12.75" customHeight="1" x14ac:dyDescent="0.25"/>
    <row r="65532" ht="12.75" customHeight="1" x14ac:dyDescent="0.25"/>
    <row r="65533" ht="12.75" customHeight="1" x14ac:dyDescent="0.25"/>
    <row r="65534" ht="12.75" customHeight="1" x14ac:dyDescent="0.25"/>
    <row r="65535" ht="12.75" customHeight="1" x14ac:dyDescent="0.25"/>
    <row r="65536" ht="12.75" customHeight="1" x14ac:dyDescent="0.25"/>
    <row r="65537" ht="12.75" customHeight="1" x14ac:dyDescent="0.25"/>
    <row r="65538" ht="12.75" customHeight="1" x14ac:dyDescent="0.25"/>
    <row r="65539" ht="12.75" customHeight="1" x14ac:dyDescent="0.25"/>
    <row r="65540" ht="12.75" customHeight="1" x14ac:dyDescent="0.25"/>
    <row r="65541" ht="12.75" customHeight="1" x14ac:dyDescent="0.25"/>
    <row r="65542" ht="12.75" customHeight="1" x14ac:dyDescent="0.25"/>
    <row r="65543" ht="12.75" customHeight="1" x14ac:dyDescent="0.25"/>
    <row r="65544" ht="12.75" customHeight="1" x14ac:dyDescent="0.25"/>
    <row r="65545" ht="12.75" customHeight="1" x14ac:dyDescent="0.25"/>
    <row r="65546" ht="12.75" customHeight="1" x14ac:dyDescent="0.25"/>
    <row r="65547" ht="12.75" customHeight="1" x14ac:dyDescent="0.25"/>
    <row r="65548" ht="12.75" customHeight="1" x14ac:dyDescent="0.25"/>
    <row r="65549" ht="12.75" customHeight="1" x14ac:dyDescent="0.25"/>
    <row r="65550" ht="12.75" customHeight="1" x14ac:dyDescent="0.25"/>
    <row r="65551" ht="12.75" customHeight="1" x14ac:dyDescent="0.25"/>
    <row r="65552" ht="12.75" customHeight="1" x14ac:dyDescent="0.25"/>
    <row r="65553" ht="12.75" customHeight="1" x14ac:dyDescent="0.25"/>
    <row r="65554" ht="12.75" customHeight="1" x14ac:dyDescent="0.25"/>
    <row r="65555" ht="12.75" customHeight="1" x14ac:dyDescent="0.25"/>
    <row r="65556" ht="12.75" customHeight="1" x14ac:dyDescent="0.25"/>
    <row r="65557" ht="12.75" customHeight="1" x14ac:dyDescent="0.25"/>
  </sheetData>
  <autoFilter ref="A17:H799" xr:uid="{00000000-0009-0000-0000-000000000000}"/>
  <mergeCells count="25">
    <mergeCell ref="F15:F16"/>
    <mergeCell ref="G15:G16"/>
    <mergeCell ref="H15:H16"/>
    <mergeCell ref="F799:H799"/>
    <mergeCell ref="G801:H801"/>
    <mergeCell ref="A15:A16"/>
    <mergeCell ref="B15:B16"/>
    <mergeCell ref="C15:C16"/>
    <mergeCell ref="D15:D16"/>
    <mergeCell ref="E15:E16"/>
    <mergeCell ref="C8:H8"/>
    <mergeCell ref="C9:H9"/>
    <mergeCell ref="C10:H10"/>
    <mergeCell ref="C11:H11"/>
    <mergeCell ref="B13:I13"/>
    <mergeCell ref="C4:H4"/>
    <mergeCell ref="I4:N4"/>
    <mergeCell ref="C5:H5"/>
    <mergeCell ref="I5:N5"/>
    <mergeCell ref="C7:I7"/>
    <mergeCell ref="C1:I1"/>
    <mergeCell ref="C2:H2"/>
    <mergeCell ref="I2:N2"/>
    <mergeCell ref="C3:H3"/>
    <mergeCell ref="I3:N3"/>
  </mergeCells>
  <pageMargins left="0.98402777777777795" right="0.35416666666666702" top="0.95416666666666705" bottom="0.78749999999999998" header="0.78749999999999998" footer="0.511811023622047"/>
  <pageSetup paperSize="9" scale="59" fitToHeight="37" orientation="portrait" horizontalDpi="300" verticalDpi="300" r:id="rId1"/>
  <headerFooter>
    <oddHeader>&amp;C&amp;"Times New Roman,Обычный"&amp;12&amp;P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503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табл.2</vt:lpstr>
      <vt:lpstr>табл.2!Excel_BuiltIn__FilterDatabase</vt:lpstr>
      <vt:lpstr>табл.2!Excel_BuiltIn_Print_Area</vt:lpstr>
      <vt:lpstr>табл.2!Заголовки_для_печати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64</cp:revision>
  <cp:lastPrinted>2026-08-13T09:49:49Z</cp:lastPrinted>
  <dcterms:created xsi:type="dcterms:W3CDTF">2026-08-13T09:49:30Z</dcterms:created>
  <dcterms:modified xsi:type="dcterms:W3CDTF">2026-08-13T09:51:04Z</dcterms:modified>
  <dc:language>ru-RU</dc:language>
</cp:coreProperties>
</file>